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AS\Downloads\"/>
    </mc:Choice>
  </mc:AlternateContent>
  <xr:revisionPtr revIDLastSave="0" documentId="13_ncr:1_{5D7E321D-D4B7-42FB-903D-095C57652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 Cañada distribució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14" i="7" l="1"/>
  <c r="AR515" i="7"/>
  <c r="AR520" i="7"/>
  <c r="AR524" i="7"/>
  <c r="AR526" i="7"/>
  <c r="AR527" i="7"/>
  <c r="AS527" i="7" s="1"/>
  <c r="AR529" i="7"/>
  <c r="AR530" i="7"/>
  <c r="AR531" i="7"/>
  <c r="AS531" i="7" s="1"/>
  <c r="AR536" i="7"/>
  <c r="AR512" i="7"/>
  <c r="AR504" i="7"/>
  <c r="AR496" i="7"/>
  <c r="AR484" i="7"/>
  <c r="AR485" i="7"/>
  <c r="AR486" i="7"/>
  <c r="AR488" i="7"/>
  <c r="AR483" i="7"/>
  <c r="AR475" i="7"/>
  <c r="AR460" i="7"/>
  <c r="AR461" i="7"/>
  <c r="AR462" i="7"/>
  <c r="AS462" i="7" s="1"/>
  <c r="AR463" i="7"/>
  <c r="AR464" i="7"/>
  <c r="AR465" i="7"/>
  <c r="AS465" i="7" s="1"/>
  <c r="AR466" i="7"/>
  <c r="AS466" i="7" s="1"/>
  <c r="AR467" i="7"/>
  <c r="AR459" i="7"/>
  <c r="AR449" i="7"/>
  <c r="AR450" i="7"/>
  <c r="AR448" i="7"/>
  <c r="AR439" i="7"/>
  <c r="AR440" i="7"/>
  <c r="AR438" i="7"/>
  <c r="AR423" i="7"/>
  <c r="AR424" i="7"/>
  <c r="AR425" i="7"/>
  <c r="AR426" i="7"/>
  <c r="AR427" i="7"/>
  <c r="AR428" i="7"/>
  <c r="AR429" i="7"/>
  <c r="AS429" i="7" s="1"/>
  <c r="AR422" i="7"/>
  <c r="AR404" i="7"/>
  <c r="AR403" i="7"/>
  <c r="AR391" i="7"/>
  <c r="AR392" i="7"/>
  <c r="AR393" i="7"/>
  <c r="AR394" i="7"/>
  <c r="AR395" i="7"/>
  <c r="AR390" i="7"/>
  <c r="AR355" i="7"/>
  <c r="AR356" i="7"/>
  <c r="AR357" i="7"/>
  <c r="AR358" i="7"/>
  <c r="AS358" i="7" s="1"/>
  <c r="AR359" i="7"/>
  <c r="AR360" i="7"/>
  <c r="AS360" i="7" s="1"/>
  <c r="AR361" i="7"/>
  <c r="AS361" i="7" s="1"/>
  <c r="AR362" i="7"/>
  <c r="AR363" i="7"/>
  <c r="AR364" i="7"/>
  <c r="AR365" i="7"/>
  <c r="AR366" i="7"/>
  <c r="AS366" i="7" s="1"/>
  <c r="AR367" i="7"/>
  <c r="AR368" i="7"/>
  <c r="AS368" i="7" s="1"/>
  <c r="AR369" i="7"/>
  <c r="AS369" i="7" s="1"/>
  <c r="AR370" i="7"/>
  <c r="AR371" i="7"/>
  <c r="AR372" i="7"/>
  <c r="AR373" i="7"/>
  <c r="AR374" i="7"/>
  <c r="AS374" i="7" s="1"/>
  <c r="AR375" i="7"/>
  <c r="AR376" i="7"/>
  <c r="AS376" i="7" s="1"/>
  <c r="AR377" i="7"/>
  <c r="AS377" i="7" s="1"/>
  <c r="AR378" i="7"/>
  <c r="AR379" i="7"/>
  <c r="AR380" i="7"/>
  <c r="AR381" i="7"/>
  <c r="AR354" i="7"/>
  <c r="AR345" i="7"/>
  <c r="AR346" i="7"/>
  <c r="AR344" i="7"/>
  <c r="AR336" i="7"/>
  <c r="AR328" i="7"/>
  <c r="AR314" i="7"/>
  <c r="AR315" i="7"/>
  <c r="AR316" i="7"/>
  <c r="AR317" i="7"/>
  <c r="AR318" i="7"/>
  <c r="AS318" i="7" s="1"/>
  <c r="AR319" i="7"/>
  <c r="AR313" i="7"/>
  <c r="AR304" i="7"/>
  <c r="AR305" i="7"/>
  <c r="AR303" i="7"/>
  <c r="AR295" i="7"/>
  <c r="AR287" i="7"/>
  <c r="AR279" i="7"/>
  <c r="AR271" i="7"/>
  <c r="AS271" i="7" s="1"/>
  <c r="AS272" i="7" s="1"/>
  <c r="AR263" i="7"/>
  <c r="AR262" i="7"/>
  <c r="AR237" i="7"/>
  <c r="AR241" i="7"/>
  <c r="AR251" i="7"/>
  <c r="AR225" i="7"/>
  <c r="AJ216" i="7"/>
  <c r="AJ217" i="7"/>
  <c r="AJ218" i="7"/>
  <c r="AJ215" i="7"/>
  <c r="AJ209" i="7"/>
  <c r="AJ210" i="7"/>
  <c r="AJ211" i="7"/>
  <c r="AJ208" i="7"/>
  <c r="AJ200" i="7"/>
  <c r="AJ201" i="7"/>
  <c r="AJ202" i="7"/>
  <c r="AJ203" i="7"/>
  <c r="AJ204" i="7"/>
  <c r="AJ199" i="7"/>
  <c r="AJ195" i="7"/>
  <c r="AJ186" i="7"/>
  <c r="AJ187" i="7"/>
  <c r="AJ188" i="7"/>
  <c r="AJ189" i="7"/>
  <c r="AJ190" i="7"/>
  <c r="AJ191" i="7"/>
  <c r="AJ185" i="7"/>
  <c r="I254" i="7"/>
  <c r="AR254" i="7" s="1"/>
  <c r="Q254" i="7"/>
  <c r="R254" i="7"/>
  <c r="AA254" i="7"/>
  <c r="Z253" i="7"/>
  <c r="O253" i="7"/>
  <c r="K253" i="7"/>
  <c r="L252" i="7"/>
  <c r="AA252" i="7"/>
  <c r="AA251" i="7"/>
  <c r="O250" i="7"/>
  <c r="AR250" i="7" s="1"/>
  <c r="AS250" i="7" s="1"/>
  <c r="R249" i="7"/>
  <c r="Q249" i="7"/>
  <c r="O249" i="7"/>
  <c r="I249" i="7"/>
  <c r="L248" i="7"/>
  <c r="P248" i="7"/>
  <c r="U248" i="7"/>
  <c r="Y248" i="7"/>
  <c r="R247" i="7"/>
  <c r="O247" i="7"/>
  <c r="AR247" i="7" s="1"/>
  <c r="AS247" i="7" s="1"/>
  <c r="I247" i="7"/>
  <c r="I246" i="7"/>
  <c r="O246" i="7"/>
  <c r="Q246" i="7"/>
  <c r="R246" i="7"/>
  <c r="U246" i="7"/>
  <c r="AA245" i="7"/>
  <c r="AR245" i="7" s="1"/>
  <c r="AS245" i="7" s="1"/>
  <c r="AA244" i="7"/>
  <c r="AR244" i="7" s="1"/>
  <c r="AS244" i="7" s="1"/>
  <c r="Q243" i="7"/>
  <c r="O243" i="7"/>
  <c r="AR243" i="7" s="1"/>
  <c r="AS243" i="7" s="1"/>
  <c r="I243" i="7"/>
  <c r="I242" i="7"/>
  <c r="N242" i="7"/>
  <c r="O242" i="7"/>
  <c r="R242" i="7"/>
  <c r="Y242" i="7"/>
  <c r="AA240" i="7"/>
  <c r="P240" i="7"/>
  <c r="AR240" i="7" s="1"/>
  <c r="AS240" i="7" s="1"/>
  <c r="O239" i="7"/>
  <c r="AR239" i="7" s="1"/>
  <c r="AS239" i="7" s="1"/>
  <c r="AA238" i="7"/>
  <c r="AR238" i="7" s="1"/>
  <c r="AS238" i="7" s="1"/>
  <c r="I236" i="7"/>
  <c r="O236" i="7"/>
  <c r="Q236" i="7"/>
  <c r="R236" i="7"/>
  <c r="AA235" i="7"/>
  <c r="AR235" i="7" s="1"/>
  <c r="AS235" i="7" s="1"/>
  <c r="O234" i="7"/>
  <c r="AR234" i="7" s="1"/>
  <c r="AS234" i="7" s="1"/>
  <c r="Q234" i="7"/>
  <c r="Y233" i="7"/>
  <c r="AR233" i="7" s="1"/>
  <c r="R233" i="7"/>
  <c r="M181" i="7"/>
  <c r="AJ181" i="7" s="1"/>
  <c r="AK181" i="7" s="1"/>
  <c r="L180" i="7"/>
  <c r="P179" i="7"/>
  <c r="AJ179" i="7" s="1"/>
  <c r="AJ180" i="7"/>
  <c r="AK180" i="7" s="1"/>
  <c r="Q176" i="7"/>
  <c r="N176" i="7"/>
  <c r="AJ175" i="7"/>
  <c r="AJ150" i="7"/>
  <c r="AJ151" i="7"/>
  <c r="AK151" i="7" s="1"/>
  <c r="AJ152" i="7"/>
  <c r="AJ153" i="7"/>
  <c r="AJ154" i="7"/>
  <c r="AJ155" i="7"/>
  <c r="AJ156" i="7"/>
  <c r="AK156" i="7" s="1"/>
  <c r="AJ157" i="7"/>
  <c r="AJ158" i="7"/>
  <c r="AJ159" i="7"/>
  <c r="AK159" i="7" s="1"/>
  <c r="AJ160" i="7"/>
  <c r="AJ161" i="7"/>
  <c r="AJ162" i="7"/>
  <c r="AJ163" i="7"/>
  <c r="AJ164" i="7"/>
  <c r="AK164" i="7" s="1"/>
  <c r="AJ165" i="7"/>
  <c r="AJ166" i="7"/>
  <c r="AJ167" i="7"/>
  <c r="AK167" i="7" s="1"/>
  <c r="AJ168" i="7"/>
  <c r="AJ169" i="7"/>
  <c r="AJ170" i="7"/>
  <c r="AJ171" i="7"/>
  <c r="AJ149" i="7"/>
  <c r="AJ144" i="7"/>
  <c r="AJ145" i="7"/>
  <c r="AJ143" i="7"/>
  <c r="AJ139" i="7"/>
  <c r="AK139" i="7" s="1"/>
  <c r="AK140" i="7" s="1"/>
  <c r="AJ130" i="7"/>
  <c r="AJ131" i="7"/>
  <c r="AJ132" i="7"/>
  <c r="AJ133" i="7"/>
  <c r="AJ134" i="7"/>
  <c r="AJ135" i="7"/>
  <c r="AK135" i="7" s="1"/>
  <c r="AJ129" i="7"/>
  <c r="AJ136" i="7" s="1"/>
  <c r="AJ123" i="7"/>
  <c r="AJ124" i="7"/>
  <c r="AJ125" i="7"/>
  <c r="AJ122" i="7"/>
  <c r="AK122" i="7" s="1"/>
  <c r="AJ114" i="7"/>
  <c r="AJ115" i="7"/>
  <c r="AJ116" i="7"/>
  <c r="AJ117" i="7"/>
  <c r="AJ118" i="7"/>
  <c r="AJ113" i="7"/>
  <c r="AJ106" i="7"/>
  <c r="AJ107" i="7"/>
  <c r="AJ108" i="7"/>
  <c r="AJ109" i="7"/>
  <c r="AJ105" i="7"/>
  <c r="AJ101" i="7"/>
  <c r="AJ100" i="7"/>
  <c r="AK100" i="7" s="1"/>
  <c r="AJ94" i="7"/>
  <c r="AJ95" i="7"/>
  <c r="AJ96" i="7"/>
  <c r="AJ93" i="7"/>
  <c r="AK93" i="7" s="1"/>
  <c r="AJ89" i="7"/>
  <c r="AJ82" i="7"/>
  <c r="AJ83" i="7"/>
  <c r="AJ84" i="7"/>
  <c r="AJ85" i="7"/>
  <c r="AJ81" i="7"/>
  <c r="AJ70" i="7"/>
  <c r="AJ71" i="7"/>
  <c r="AJ72" i="7"/>
  <c r="AJ73" i="7"/>
  <c r="AJ74" i="7"/>
  <c r="AJ75" i="7"/>
  <c r="AK75" i="7" s="1"/>
  <c r="AJ76" i="7"/>
  <c r="AK76" i="7" s="1"/>
  <c r="AJ77" i="7"/>
  <c r="AJ69" i="7"/>
  <c r="AK69" i="7" s="1"/>
  <c r="AJ62" i="7"/>
  <c r="AJ63" i="7"/>
  <c r="AJ64" i="7"/>
  <c r="AJ65" i="7"/>
  <c r="AJ61" i="7"/>
  <c r="AJ44" i="7"/>
  <c r="AJ45" i="7"/>
  <c r="AJ46" i="7"/>
  <c r="AJ47" i="7"/>
  <c r="AJ48" i="7"/>
  <c r="AJ49" i="7"/>
  <c r="AJ50" i="7"/>
  <c r="AK50" i="7" s="1"/>
  <c r="AJ51" i="7"/>
  <c r="AJ52" i="7"/>
  <c r="AJ53" i="7"/>
  <c r="AJ54" i="7"/>
  <c r="AK54" i="7" s="1"/>
  <c r="AJ55" i="7"/>
  <c r="AJ56" i="7"/>
  <c r="AJ57" i="7"/>
  <c r="AJ43" i="7"/>
  <c r="AJ39" i="7"/>
  <c r="AJ38" i="7"/>
  <c r="AJ34" i="7"/>
  <c r="AJ33" i="7"/>
  <c r="AK33" i="7" s="1"/>
  <c r="AJ26" i="7"/>
  <c r="AJ27" i="7"/>
  <c r="AJ28" i="7"/>
  <c r="AJ29" i="7"/>
  <c r="AJ25" i="7"/>
  <c r="AJ21" i="7"/>
  <c r="AJ20" i="7"/>
  <c r="AJ13" i="7"/>
  <c r="AJ14" i="7"/>
  <c r="AJ15" i="7"/>
  <c r="AJ16" i="7"/>
  <c r="AJ12" i="7"/>
  <c r="AK12" i="7" s="1"/>
  <c r="AJ7" i="7"/>
  <c r="AJ8" i="7"/>
  <c r="AJ6" i="7"/>
  <c r="AS287" i="7"/>
  <c r="AS288" i="7" s="1"/>
  <c r="AA412" i="7"/>
  <c r="M413" i="7"/>
  <c r="V412" i="7"/>
  <c r="AR412" i="7" s="1"/>
  <c r="AS412" i="7" s="1"/>
  <c r="S535" i="7"/>
  <c r="AR535" i="7" s="1"/>
  <c r="AS535" i="7" s="1"/>
  <c r="I534" i="7"/>
  <c r="AA534" i="7"/>
  <c r="AA533" i="7"/>
  <c r="I533" i="7"/>
  <c r="AR533" i="7" s="1"/>
  <c r="AS533" i="7" s="1"/>
  <c r="I532" i="7"/>
  <c r="AR532" i="7" s="1"/>
  <c r="AS532" i="7" s="1"/>
  <c r="I528" i="7"/>
  <c r="AR528" i="7" s="1"/>
  <c r="AS528" i="7" s="1"/>
  <c r="I525" i="7"/>
  <c r="AA525" i="7"/>
  <c r="M523" i="7"/>
  <c r="AR523" i="7" s="1"/>
  <c r="AS523" i="7" s="1"/>
  <c r="V522" i="7"/>
  <c r="AR522" i="7" s="1"/>
  <c r="AS522" i="7" s="1"/>
  <c r="V521" i="7"/>
  <c r="AR521" i="7" s="1"/>
  <c r="AS521" i="7" s="1"/>
  <c r="I519" i="7"/>
  <c r="AR519" i="7" s="1"/>
  <c r="AS519" i="7" s="1"/>
  <c r="I518" i="7"/>
  <c r="AR518" i="7" s="1"/>
  <c r="AS518" i="7" s="1"/>
  <c r="V517" i="7"/>
  <c r="AR517" i="7" s="1"/>
  <c r="AS517" i="7" s="1"/>
  <c r="S516" i="7"/>
  <c r="AR516" i="7" s="1"/>
  <c r="AS516" i="7" s="1"/>
  <c r="R513" i="7"/>
  <c r="AR513" i="7" s="1"/>
  <c r="AS513" i="7" s="1"/>
  <c r="O487" i="7"/>
  <c r="AR487" i="7" s="1"/>
  <c r="AS487" i="7" s="1"/>
  <c r="AS484" i="7"/>
  <c r="AS486" i="7"/>
  <c r="AS488" i="7"/>
  <c r="AS483" i="7"/>
  <c r="AS422" i="7"/>
  <c r="AS424" i="7"/>
  <c r="AS426" i="7"/>
  <c r="AS427" i="7"/>
  <c r="AS428" i="7"/>
  <c r="AR421" i="7"/>
  <c r="AS536" i="7"/>
  <c r="AS530" i="7"/>
  <c r="AS529" i="7"/>
  <c r="AS526" i="7"/>
  <c r="AS524" i="7"/>
  <c r="AS520" i="7"/>
  <c r="AS515" i="7"/>
  <c r="AS514" i="7"/>
  <c r="AR505" i="7"/>
  <c r="AR497" i="7"/>
  <c r="AR476" i="7"/>
  <c r="AS467" i="7"/>
  <c r="AS464" i="7"/>
  <c r="AS463" i="7"/>
  <c r="AS461" i="7"/>
  <c r="AS460" i="7"/>
  <c r="AS459" i="7"/>
  <c r="AS450" i="7"/>
  <c r="AS449" i="7"/>
  <c r="AS440" i="7"/>
  <c r="AS439" i="7"/>
  <c r="AS438" i="7"/>
  <c r="AS425" i="7"/>
  <c r="AS423" i="7"/>
  <c r="AR413" i="7"/>
  <c r="AS413" i="7" s="1"/>
  <c r="AR405" i="7"/>
  <c r="AS404" i="7"/>
  <c r="AS403" i="7"/>
  <c r="AS395" i="7"/>
  <c r="AS394" i="7"/>
  <c r="AS393" i="7"/>
  <c r="AS392" i="7"/>
  <c r="AS391" i="7"/>
  <c r="AS381" i="7"/>
  <c r="AS380" i="7"/>
  <c r="AS379" i="7"/>
  <c r="AS378" i="7"/>
  <c r="AS375" i="7"/>
  <c r="AS373" i="7"/>
  <c r="AS372" i="7"/>
  <c r="AS371" i="7"/>
  <c r="AS370" i="7"/>
  <c r="AS367" i="7"/>
  <c r="AS365" i="7"/>
  <c r="AS364" i="7"/>
  <c r="AS363" i="7"/>
  <c r="AS362" i="7"/>
  <c r="AS359" i="7"/>
  <c r="AS357" i="7"/>
  <c r="AS356" i="7"/>
  <c r="AS355" i="7"/>
  <c r="AS354" i="7"/>
  <c r="AS346" i="7"/>
  <c r="AS345" i="7"/>
  <c r="AS344" i="7"/>
  <c r="AS328" i="7"/>
  <c r="AS329" i="7" s="1"/>
  <c r="AS319" i="7"/>
  <c r="AS317" i="7"/>
  <c r="AS316" i="7"/>
  <c r="AS314" i="7"/>
  <c r="AS313" i="7"/>
  <c r="AS305" i="7"/>
  <c r="AS303" i="7"/>
  <c r="AS263" i="7"/>
  <c r="AS251" i="7"/>
  <c r="AS241" i="7"/>
  <c r="AS237" i="7"/>
  <c r="AS225" i="7"/>
  <c r="AS226" i="7" s="1"/>
  <c r="AK218" i="7"/>
  <c r="AK217" i="7"/>
  <c r="AK216" i="7"/>
  <c r="AK215" i="7"/>
  <c r="AK211" i="7"/>
  <c r="AK210" i="7"/>
  <c r="AK209" i="7"/>
  <c r="AK208" i="7"/>
  <c r="AK204" i="7"/>
  <c r="AK203" i="7"/>
  <c r="AK202" i="7"/>
  <c r="AK201" i="7"/>
  <c r="AK200" i="7"/>
  <c r="AK199" i="7"/>
  <c r="AK195" i="7"/>
  <c r="AK196" i="7" s="1"/>
  <c r="AK191" i="7"/>
  <c r="AK190" i="7"/>
  <c r="AK189" i="7"/>
  <c r="AK188" i="7"/>
  <c r="AK187" i="7"/>
  <c r="AK185" i="7"/>
  <c r="AJ176" i="7"/>
  <c r="AK171" i="7"/>
  <c r="AK170" i="7"/>
  <c r="AK169" i="7"/>
  <c r="AK168" i="7"/>
  <c r="AK166" i="7"/>
  <c r="AK165" i="7"/>
  <c r="AK163" i="7"/>
  <c r="AK162" i="7"/>
  <c r="AK161" i="7"/>
  <c r="AK160" i="7"/>
  <c r="AK158" i="7"/>
  <c r="AK157" i="7"/>
  <c r="AK155" i="7"/>
  <c r="AK154" i="7"/>
  <c r="AK153" i="7"/>
  <c r="AK152" i="7"/>
  <c r="AK150" i="7"/>
  <c r="AK149" i="7"/>
  <c r="AK145" i="7"/>
  <c r="AK144" i="7"/>
  <c r="AK143" i="7"/>
  <c r="AJ140" i="7"/>
  <c r="AK134" i="7"/>
  <c r="AK133" i="7"/>
  <c r="AK132" i="7"/>
  <c r="AK131" i="7"/>
  <c r="AK130" i="7"/>
  <c r="AK125" i="7"/>
  <c r="AK124" i="7"/>
  <c r="AK123" i="7"/>
  <c r="AK118" i="7"/>
  <c r="AK117" i="7"/>
  <c r="AK116" i="7"/>
  <c r="AK115" i="7"/>
  <c r="AK114" i="7"/>
  <c r="AK109" i="7"/>
  <c r="AK108" i="7"/>
  <c r="AK107" i="7"/>
  <c r="AK106" i="7"/>
  <c r="AK101" i="7"/>
  <c r="AK96" i="7"/>
  <c r="AK95" i="7"/>
  <c r="AK94" i="7"/>
  <c r="AJ90" i="7"/>
  <c r="AK85" i="7"/>
  <c r="AK84" i="7"/>
  <c r="AK83" i="7"/>
  <c r="AK82" i="7"/>
  <c r="AK77" i="7"/>
  <c r="AK74" i="7"/>
  <c r="AK73" i="7"/>
  <c r="AK72" i="7"/>
  <c r="AK71" i="7"/>
  <c r="AK70" i="7"/>
  <c r="AK65" i="7"/>
  <c r="AK64" i="7"/>
  <c r="AK63" i="7"/>
  <c r="AK62" i="7"/>
  <c r="AK57" i="7"/>
  <c r="AK56" i="7"/>
  <c r="AK55" i="7"/>
  <c r="AK53" i="7"/>
  <c r="AK52" i="7"/>
  <c r="AK51" i="7"/>
  <c r="AK49" i="7"/>
  <c r="AK48" i="7"/>
  <c r="AK47" i="7"/>
  <c r="AK46" i="7"/>
  <c r="AK45" i="7"/>
  <c r="AK44" i="7"/>
  <c r="AK43" i="7"/>
  <c r="AK39" i="7"/>
  <c r="AK38" i="7"/>
  <c r="AK34" i="7"/>
  <c r="AK29" i="7"/>
  <c r="AK28" i="7"/>
  <c r="AK27" i="7"/>
  <c r="AK26" i="7"/>
  <c r="AK21" i="7"/>
  <c r="AK20" i="7"/>
  <c r="AK16" i="7"/>
  <c r="AK15" i="7"/>
  <c r="AK14" i="7"/>
  <c r="AK13" i="7"/>
  <c r="AK8" i="7"/>
  <c r="AN6" i="7"/>
  <c r="AK6" i="7"/>
  <c r="AR534" i="7" l="1"/>
  <c r="AS534" i="7" s="1"/>
  <c r="AR248" i="7"/>
  <c r="AR252" i="7"/>
  <c r="AS252" i="7" s="1"/>
  <c r="AR246" i="7"/>
  <c r="AS246" i="7" s="1"/>
  <c r="AR249" i="7"/>
  <c r="AR253" i="7"/>
  <c r="AR525" i="7"/>
  <c r="AS525" i="7" s="1"/>
  <c r="AR236" i="7"/>
  <c r="AR255" i="7" s="1"/>
  <c r="AR242" i="7"/>
  <c r="AS253" i="7"/>
  <c r="AS254" i="7"/>
  <c r="AR264" i="7"/>
  <c r="AS242" i="7"/>
  <c r="AS248" i="7"/>
  <c r="AS249" i="7"/>
  <c r="AK102" i="7"/>
  <c r="AJ196" i="7"/>
  <c r="AK35" i="7"/>
  <c r="AJ9" i="7"/>
  <c r="AJ30" i="7"/>
  <c r="AK126" i="7"/>
  <c r="AR329" i="7"/>
  <c r="AR441" i="7"/>
  <c r="AS504" i="7"/>
  <c r="AS505" i="7" s="1"/>
  <c r="AJ22" i="7"/>
  <c r="AR226" i="7"/>
  <c r="AS414" i="7"/>
  <c r="AR468" i="7"/>
  <c r="AR537" i="7"/>
  <c r="AJ212" i="7"/>
  <c r="AR272" i="7"/>
  <c r="AJ66" i="7"/>
  <c r="AJ146" i="7"/>
  <c r="AR451" i="7"/>
  <c r="AJ40" i="7"/>
  <c r="AS448" i="7"/>
  <c r="AS451" i="7" s="1"/>
  <c r="AS468" i="7"/>
  <c r="AK17" i="7"/>
  <c r="AK22" i="7"/>
  <c r="AK89" i="7"/>
  <c r="AK90" i="7" s="1"/>
  <c r="AJ110" i="7"/>
  <c r="AS405" i="7"/>
  <c r="AR489" i="7"/>
  <c r="AR414" i="7"/>
  <c r="AR288" i="7"/>
  <c r="AK58" i="7"/>
  <c r="AK78" i="7"/>
  <c r="AJ35" i="7"/>
  <c r="AJ58" i="7"/>
  <c r="AS295" i="7"/>
  <c r="AS296" i="7" s="1"/>
  <c r="AR296" i="7"/>
  <c r="AK146" i="7"/>
  <c r="AS382" i="7"/>
  <c r="AJ86" i="7"/>
  <c r="AK81" i="7"/>
  <c r="AK86" i="7" s="1"/>
  <c r="AK186" i="7"/>
  <c r="AK192" i="7" s="1"/>
  <c r="AJ192" i="7"/>
  <c r="AK205" i="7"/>
  <c r="AR306" i="7"/>
  <c r="AK25" i="7"/>
  <c r="AK30" i="7" s="1"/>
  <c r="AJ172" i="7"/>
  <c r="AJ102" i="7"/>
  <c r="AJ119" i="7"/>
  <c r="AK113" i="7"/>
  <c r="AK119" i="7" s="1"/>
  <c r="AK172" i="7"/>
  <c r="AK219" i="7"/>
  <c r="AS279" i="7"/>
  <c r="AS280" i="7" s="1"/>
  <c r="AR280" i="7"/>
  <c r="AS336" i="7"/>
  <c r="AS337" i="7" s="1"/>
  <c r="AR337" i="7"/>
  <c r="AK7" i="7"/>
  <c r="AK9" i="7" s="1"/>
  <c r="AJ17" i="7"/>
  <c r="AK40" i="7"/>
  <c r="AK61" i="7"/>
  <c r="AK66" i="7" s="1"/>
  <c r="AK97" i="7"/>
  <c r="AJ182" i="7"/>
  <c r="AS315" i="7"/>
  <c r="AS320" i="7" s="1"/>
  <c r="AR320" i="7"/>
  <c r="AS347" i="7"/>
  <c r="AS441" i="7"/>
  <c r="AR396" i="7"/>
  <c r="AK212" i="7"/>
  <c r="AS421" i="7"/>
  <c r="AS430" i="7" s="1"/>
  <c r="AR430" i="7"/>
  <c r="AS233" i="7"/>
  <c r="AJ205" i="7"/>
  <c r="AJ78" i="7"/>
  <c r="AK129" i="7"/>
  <c r="AK136" i="7" s="1"/>
  <c r="AK179" i="7"/>
  <c r="AK182" i="7" s="1"/>
  <c r="AS262" i="7"/>
  <c r="AS264" i="7" s="1"/>
  <c r="AS304" i="7"/>
  <c r="AS306" i="7" s="1"/>
  <c r="AS390" i="7"/>
  <c r="AS396" i="7" s="1"/>
  <c r="AR347" i="7"/>
  <c r="AS475" i="7"/>
  <c r="AS476" i="7" s="1"/>
  <c r="AS485" i="7"/>
  <c r="AS489" i="7" s="1"/>
  <c r="AJ97" i="7"/>
  <c r="AJ219" i="7"/>
  <c r="AK105" i="7"/>
  <c r="AK110" i="7" s="1"/>
  <c r="AK175" i="7"/>
  <c r="AK176" i="7" s="1"/>
  <c r="AJ126" i="7"/>
  <c r="AR382" i="7"/>
  <c r="AS496" i="7"/>
  <c r="AS497" i="7" s="1"/>
  <c r="AS512" i="7"/>
  <c r="AS236" i="7" l="1"/>
  <c r="AS537" i="7"/>
  <c r="AS255" i="7"/>
</calcChain>
</file>

<file path=xl/sharedStrings.xml><?xml version="1.0" encoding="utf-8"?>
<sst xmlns="http://schemas.openxmlformats.org/spreadsheetml/2006/main" count="1739" uniqueCount="498">
  <si>
    <t xml:space="preserve">No. Orden </t>
  </si>
  <si>
    <t>Nombre Propietario</t>
  </si>
  <si>
    <t xml:space="preserve">Nombre Predio </t>
  </si>
  <si>
    <t>Area Predio (Ha)</t>
  </si>
  <si>
    <t>No. Registro Catastral</t>
  </si>
  <si>
    <t>Cultivos (Ha.)</t>
  </si>
  <si>
    <t xml:space="preserve"> Uso Doméstico No. Habitantes</t>
  </si>
  <si>
    <t>Otros Usos de Agua Habitantes</t>
  </si>
  <si>
    <t>Uso Industrial Proceso Café (Carga)</t>
  </si>
  <si>
    <t xml:space="preserve">Abrevadero Animales </t>
  </si>
  <si>
    <t xml:space="preserve">Coordenadas </t>
  </si>
  <si>
    <t>Caudal Base Reparto (Lts/seg)</t>
  </si>
  <si>
    <t>Caudal Asignado (Lts/seg)</t>
  </si>
  <si>
    <t>Caudal Remanente Corriente (Lts/seg)</t>
  </si>
  <si>
    <t>Café</t>
  </si>
  <si>
    <t>Pancojer</t>
  </si>
  <si>
    <t>Pastos</t>
  </si>
  <si>
    <t xml:space="preserve">Tabaco </t>
  </si>
  <si>
    <t>Citricos y Mora</t>
  </si>
  <si>
    <t>Bovinos</t>
  </si>
  <si>
    <t>Cerdos</t>
  </si>
  <si>
    <t>Caprinos</t>
  </si>
  <si>
    <t>Avícola</t>
  </si>
  <si>
    <t>Norte</t>
  </si>
  <si>
    <t>Este</t>
  </si>
  <si>
    <t>La Esperanza</t>
  </si>
  <si>
    <t>Lote 3</t>
  </si>
  <si>
    <t>Lote 2</t>
  </si>
  <si>
    <t>Lote 1</t>
  </si>
  <si>
    <t>Lote de terreno</t>
  </si>
  <si>
    <r>
      <t>Piscicola (m</t>
    </r>
    <r>
      <rPr>
        <b/>
        <vertAlign val="superscript"/>
        <sz val="9"/>
        <color theme="1"/>
        <rFont val="Arial Narrow"/>
        <family val="2"/>
      </rPr>
      <t>2</t>
    </r>
    <r>
      <rPr>
        <b/>
        <sz val="9"/>
        <color theme="1"/>
        <rFont val="Arial Narrow"/>
        <family val="2"/>
      </rPr>
      <t>)</t>
    </r>
  </si>
  <si>
    <t>Orden Captación</t>
  </si>
  <si>
    <t>Id Captación</t>
  </si>
  <si>
    <t>Quebrada La Cañada Zona Alta Alta Alta</t>
  </si>
  <si>
    <t xml:space="preserve">Jacobo García García </t>
  </si>
  <si>
    <t>Santiago Martinez Puentes</t>
  </si>
  <si>
    <t xml:space="preserve">Isabel mantilla mendoza </t>
  </si>
  <si>
    <t xml:space="preserve">Mireya Mendoza mantilla </t>
  </si>
  <si>
    <t xml:space="preserve">Octavio blanco </t>
  </si>
  <si>
    <t>Myriam Mendoza Mantilla</t>
  </si>
  <si>
    <t xml:space="preserve">Orlinda mendoza mantilla </t>
  </si>
  <si>
    <t xml:space="preserve">Andrés Serrano Prada </t>
  </si>
  <si>
    <t>Andres serrano prada</t>
  </si>
  <si>
    <t xml:space="preserve">Andrés serrano Prada </t>
  </si>
  <si>
    <t xml:space="preserve">Omaira bohada de Solís y Ricardo Solís </t>
  </si>
  <si>
    <t xml:space="preserve">María Serrano Prada </t>
  </si>
  <si>
    <t xml:space="preserve">Jesús Maria Serrano Prada </t>
  </si>
  <si>
    <t xml:space="preserve">Jesus maria serrano prada </t>
  </si>
  <si>
    <t xml:space="preserve">Nestor García Maldonado </t>
  </si>
  <si>
    <t xml:space="preserve">Edy Toloza Rodriguez </t>
  </si>
  <si>
    <t xml:space="preserve">Edgard diaz </t>
  </si>
  <si>
    <t>Condominio Lagos del Valle</t>
  </si>
  <si>
    <t xml:space="preserve">Predio villa ines </t>
  </si>
  <si>
    <t>Parcelación Vista Hermosa</t>
  </si>
  <si>
    <t xml:space="preserve">finca la cañada vereda tabacal </t>
  </si>
  <si>
    <t xml:space="preserve">Finca la cañada </t>
  </si>
  <si>
    <t xml:space="preserve">Brisas </t>
  </si>
  <si>
    <t>Finca la cañada vereda tabacal lote 21</t>
  </si>
  <si>
    <t xml:space="preserve">Finca la cañada lote 12 vereda tabacal </t>
  </si>
  <si>
    <t xml:space="preserve">Finca la cañada vereda tabacal </t>
  </si>
  <si>
    <t>El Alto</t>
  </si>
  <si>
    <t xml:space="preserve">El alto </t>
  </si>
  <si>
    <t xml:space="preserve">Carrera 39 46-79 cabecera </t>
  </si>
  <si>
    <t>Calle48 no 28-27apartamento 1002 edificio fuencawal</t>
  </si>
  <si>
    <t xml:space="preserve">Los Guayacanes </t>
  </si>
  <si>
    <t xml:space="preserve">Los guayacanes </t>
  </si>
  <si>
    <t>Lote 17</t>
  </si>
  <si>
    <t>Lote 8</t>
  </si>
  <si>
    <t xml:space="preserve">Finca la maria vereda tabacal </t>
  </si>
  <si>
    <t>Aguacate</t>
  </si>
  <si>
    <t>Cacao</t>
  </si>
  <si>
    <t>Arboles</t>
  </si>
  <si>
    <t>Limon</t>
  </si>
  <si>
    <t>Maiz</t>
  </si>
  <si>
    <t>Otro</t>
  </si>
  <si>
    <t>Quebrada La Cañada Zona Alta Alta Media</t>
  </si>
  <si>
    <t xml:space="preserve">Clara Inés Lazcano Figueroa </t>
  </si>
  <si>
    <t xml:space="preserve">Luz María Pimiento Ochoa </t>
  </si>
  <si>
    <t>Cristian Daniel Orduz Acosta y Paula Sofia Orduz Acosta</t>
  </si>
  <si>
    <t xml:space="preserve">Julio Mojica Zanches </t>
  </si>
  <si>
    <t xml:space="preserve">Luis Fernando Santamaría </t>
  </si>
  <si>
    <t xml:space="preserve">Luis Alfonso vargas </t>
  </si>
  <si>
    <t xml:space="preserve">Betty mendoza mantilla </t>
  </si>
  <si>
    <t>Omar Suarez mejia</t>
  </si>
  <si>
    <t xml:space="preserve">Maria Resfa Reangel Sandoval </t>
  </si>
  <si>
    <t xml:space="preserve">Dará Lucia urine Ruiz </t>
  </si>
  <si>
    <t>Dario Sebastian Quintero Gamboa y Jose Julian Rodriguez Arias</t>
  </si>
  <si>
    <t>Alberto luis Sanchez betancourt</t>
  </si>
  <si>
    <t xml:space="preserve">Angélica Maria Huston acosta </t>
  </si>
  <si>
    <t xml:space="preserve">Marleny Vera de Corredor </t>
  </si>
  <si>
    <t>El Cielo</t>
  </si>
  <si>
    <t>Lote #1</t>
  </si>
  <si>
    <t>Carrera 31#21-28 apt 1001 san alonso bucaramanga</t>
  </si>
  <si>
    <t xml:space="preserve">Los Cayenos </t>
  </si>
  <si>
    <t>La maruja</t>
  </si>
  <si>
    <t>Villa maria</t>
  </si>
  <si>
    <t xml:space="preserve">Finca la cañada Lote 8 vereda tabacal </t>
  </si>
  <si>
    <t>Calle 23 #4-50 piedecuesta</t>
  </si>
  <si>
    <t xml:space="preserve">Las Marias </t>
  </si>
  <si>
    <t xml:space="preserve">Lote c7 Villa Sarita </t>
  </si>
  <si>
    <t>Carrera 14 #35-26 ofi 407</t>
  </si>
  <si>
    <t xml:space="preserve">Villa rosmy </t>
  </si>
  <si>
    <t>Villa paraiso</t>
  </si>
  <si>
    <t>Recodo de Fatima</t>
  </si>
  <si>
    <t>Florinda Mendoza Mantilla</t>
  </si>
  <si>
    <t xml:space="preserve">Wilson Mendoza Mantilla </t>
  </si>
  <si>
    <t xml:space="preserve">Mireya Mendoza Mantilla </t>
  </si>
  <si>
    <t>Gerardo Almeida Perez</t>
  </si>
  <si>
    <t>PROTHESAN S,A,S</t>
  </si>
  <si>
    <t xml:space="preserve">Eliecer mendoza mantilla </t>
  </si>
  <si>
    <t xml:space="preserve">Lelio Mendoza Mantilla </t>
  </si>
  <si>
    <t>Saturio Maldonado Villamizar</t>
  </si>
  <si>
    <t>Samuel Ferreira Acosta</t>
  </si>
  <si>
    <t>Jorge emiro Arciniegas Arciniegas</t>
  </si>
  <si>
    <t xml:space="preserve">Isabel Mendoza Mantilla </t>
  </si>
  <si>
    <t>Lennis María Robles Carreño</t>
  </si>
  <si>
    <t xml:space="preserve">Ramon Eduardo Jerez </t>
  </si>
  <si>
    <t xml:space="preserve">Antonio María gamez </t>
  </si>
  <si>
    <t>Maria Natalia Mayorga Niño</t>
  </si>
  <si>
    <t>Deicy Johana Delgado Lopez</t>
  </si>
  <si>
    <t xml:space="preserve">Antonio Gámez </t>
  </si>
  <si>
    <t>Pimenton</t>
  </si>
  <si>
    <t>Piña</t>
  </si>
  <si>
    <t>Finca la cañada lote 14</t>
  </si>
  <si>
    <t>Finca la cañada lote 13</t>
  </si>
  <si>
    <t>Finca la cañada lote 1</t>
  </si>
  <si>
    <t>Finca la esmeralda</t>
  </si>
  <si>
    <t>Finca buenos Aires</t>
  </si>
  <si>
    <t xml:space="preserve">Finca la cañada lote 19 vereda tabacal </t>
  </si>
  <si>
    <t>Finca la cañada lote 22</t>
  </si>
  <si>
    <t xml:space="preserve">Finca la cañada lote 15 vereda tabacal </t>
  </si>
  <si>
    <t>Finca la cañada lote 2</t>
  </si>
  <si>
    <t xml:space="preserve">Lote de terreno 1 </t>
  </si>
  <si>
    <t>Parcela la esmeralda</t>
  </si>
  <si>
    <t xml:space="preserve">Maria Camila vda la mesa </t>
  </si>
  <si>
    <t>Finca la cañada lote 23</t>
  </si>
  <si>
    <t>Finca la cañada</t>
  </si>
  <si>
    <t xml:space="preserve">La rinconada </t>
  </si>
  <si>
    <t>Villa Frodita</t>
  </si>
  <si>
    <t>Villa Luna</t>
  </si>
  <si>
    <t>Calle 41 n 38 - 105 torre 3 603</t>
  </si>
  <si>
    <t>Manantial 1</t>
  </si>
  <si>
    <t>La esmeralda - Buenos Aires</t>
  </si>
  <si>
    <t>Rancho palomares</t>
  </si>
  <si>
    <t>Tributario Innominado Cod. 2403030801010101</t>
  </si>
  <si>
    <t>Tributario Innominado Cod. 2403030801010103</t>
  </si>
  <si>
    <t>Tributario Innominado Cod. 2403030801010104</t>
  </si>
  <si>
    <t>Tributario Innominado Cod. 240303080101010301</t>
  </si>
  <si>
    <t>Tributario Innominado Cod. 2403030801010105</t>
  </si>
  <si>
    <t>Quebrada La Cañada Zona Alta Alta Alta Cod. 24030308010101</t>
  </si>
  <si>
    <t>Tributario Innominado Cod. 2403030801010202</t>
  </si>
  <si>
    <t>Tributario Innominado Cod. 240303080101020203</t>
  </si>
  <si>
    <t>Yuca</t>
  </si>
  <si>
    <t>Alfonso Ferreira Acosta</t>
  </si>
  <si>
    <t>Tributario Innominado Cod. 2403030801010203</t>
  </si>
  <si>
    <t>Maria Consuelo Pinzón Almeida</t>
  </si>
  <si>
    <t>Tributario Innominado Cod. 2403030801010204</t>
  </si>
  <si>
    <t>Quebrada La Cañada Zona Alta Alta Media Cod. 24030308010102</t>
  </si>
  <si>
    <t>Quebrada La Cañada Zona Alta Alta Baja</t>
  </si>
  <si>
    <t>Tributario Innominado Cod. 2403030801010301</t>
  </si>
  <si>
    <t>Gloria Ines Gomez Landazabal / Jhair Rincon Landazabal</t>
  </si>
  <si>
    <t>Yessica Mayerly Patiño Lizarazo</t>
  </si>
  <si>
    <t xml:space="preserve">Conjunto campestre chicamocha real </t>
  </si>
  <si>
    <t>Condominio chicamocha dorado</t>
  </si>
  <si>
    <t>Condominio chicamcha dorado porterias</t>
  </si>
  <si>
    <t>Tributario Innominado Cod. 2403030801010302</t>
  </si>
  <si>
    <t>Esperanza galita gutierrez arenas</t>
  </si>
  <si>
    <t xml:space="preserve">Finca el recreo vereda el verde </t>
  </si>
  <si>
    <t>Luis Jaimes Afanador</t>
  </si>
  <si>
    <t>Rancho matias</t>
  </si>
  <si>
    <t>Tomate</t>
  </si>
  <si>
    <t>Tributario Innominado Cod. 240303080101030201</t>
  </si>
  <si>
    <t>Maribel Melo Romero</t>
  </si>
  <si>
    <t>Calle 90#17d-79 san luis bucaramanga</t>
  </si>
  <si>
    <t>Susana García Roa</t>
  </si>
  <si>
    <t xml:space="preserve">Villa Lucia </t>
  </si>
  <si>
    <t>Maria Carolina Reategui</t>
  </si>
  <si>
    <t>Callejuelas torre 4 apt 113 piedecuesta</t>
  </si>
  <si>
    <t xml:space="preserve">Luis Francisco Vargas Acevedo </t>
  </si>
  <si>
    <t xml:space="preserve">Rancho Palomares Sector Pozo Azul </t>
  </si>
  <si>
    <t xml:space="preserve">Sergio Álvarez ardila </t>
  </si>
  <si>
    <t xml:space="preserve">Villa bety </t>
  </si>
  <si>
    <t>Tributario Innominado Cod. 2403030801010303</t>
  </si>
  <si>
    <t>Oscar Ivan Pinzon Gomez</t>
  </si>
  <si>
    <t>Sandra Milena Olaya Marin</t>
  </si>
  <si>
    <t>Lote de terreno 1D</t>
  </si>
  <si>
    <t>Sonia Hortua Velandia</t>
  </si>
  <si>
    <t>Lote 3 el manantial</t>
  </si>
  <si>
    <t xml:space="preserve">Jaime Hortua Velandia </t>
  </si>
  <si>
    <t xml:space="preserve">El palmar </t>
  </si>
  <si>
    <t>Gregorio Jaimes Bautista</t>
  </si>
  <si>
    <t xml:space="preserve">Lote 8 mesa de jeridas </t>
  </si>
  <si>
    <t>Cunicultura</t>
  </si>
  <si>
    <t>Cuyicultura</t>
  </si>
  <si>
    <t>Jose Carmen Silva</t>
  </si>
  <si>
    <t>Villa Hector Lote 9</t>
  </si>
  <si>
    <t>Tributario Innominado Cod. 240303080101030301</t>
  </si>
  <si>
    <t xml:space="preserve">Orlando Mejía rueda </t>
  </si>
  <si>
    <t xml:space="preserve">Lote 1 b mesa dé jeridas </t>
  </si>
  <si>
    <t xml:space="preserve">Paola Andrea arenas Segura </t>
  </si>
  <si>
    <t xml:space="preserve">Villa Gloria </t>
  </si>
  <si>
    <t xml:space="preserve">Suleima rincón varón </t>
  </si>
  <si>
    <t xml:space="preserve">Lote </t>
  </si>
  <si>
    <t xml:space="preserve">Alain Florez Manrique </t>
  </si>
  <si>
    <t>Míacanela</t>
  </si>
  <si>
    <t>Quebrada La Cañada Zona Alta Alta Baja Cod. 24030308010103</t>
  </si>
  <si>
    <t xml:space="preserve">Iván Enrrique Mantilla Acuña </t>
  </si>
  <si>
    <t xml:space="preserve">Los Trinitarios </t>
  </si>
  <si>
    <t xml:space="preserve">Maria Victoria Borja Niño </t>
  </si>
  <si>
    <t>Villa Ganesha</t>
  </si>
  <si>
    <t>Eulises orduz amezquita</t>
  </si>
  <si>
    <t xml:space="preserve">Lote 1b vereda la mesa </t>
  </si>
  <si>
    <t xml:space="preserve">Sergio Eduardo león Jaimes </t>
  </si>
  <si>
    <t xml:space="preserve">Lote 3a vereda él verde los santos </t>
  </si>
  <si>
    <t>Santa María Reina Condominio Campestre</t>
  </si>
  <si>
    <t>VDA La Mesa Fca Santa María Reina</t>
  </si>
  <si>
    <t xml:space="preserve">Lelio mendoza mantilla </t>
  </si>
  <si>
    <t xml:space="preserve">Wilson mendoza mantilla </t>
  </si>
  <si>
    <t xml:space="preserve">Finca la cañada Vereda tabacal </t>
  </si>
  <si>
    <t>Quebrada La Cañada Zona Alta Media Central</t>
  </si>
  <si>
    <t>Tributario Innominado Cod. 2403030801011105</t>
  </si>
  <si>
    <t>Rodrigo Carrillo Zambrano</t>
  </si>
  <si>
    <t>La Alborada</t>
  </si>
  <si>
    <t>Quebrada La Cañada Zona Alta Media Central Cod. 24030308010111</t>
  </si>
  <si>
    <t xml:space="preserve">Maria Eugenia Meneses Cancino </t>
  </si>
  <si>
    <t xml:space="preserve">Parcela Villa Maria </t>
  </si>
  <si>
    <t xml:space="preserve">Daniela pinilla Diaz </t>
  </si>
  <si>
    <t xml:space="preserve">Villa rosa </t>
  </si>
  <si>
    <t>Quebrada La Cañada Zona Alta Media Derecha</t>
  </si>
  <si>
    <t>Tributario Innominado Cod. 24030308010104</t>
  </si>
  <si>
    <t xml:space="preserve">Rafael Aldana forero </t>
  </si>
  <si>
    <t xml:space="preserve">Finca viña de Aldana </t>
  </si>
  <si>
    <t xml:space="preserve">Freddy oswaldo mantilla aceros </t>
  </si>
  <si>
    <t xml:space="preserve">Parcelacion la maria lote 1 y 2 vereda tabacal </t>
  </si>
  <si>
    <t xml:space="preserve">Alfonso savedra </t>
  </si>
  <si>
    <t xml:space="preserve">Finca el osito Vereda tabacal </t>
  </si>
  <si>
    <t xml:space="preserve">Bertha Rodriguez Guevara </t>
  </si>
  <si>
    <t xml:space="preserve">Carrera 37 no 37-17el prado Bucaramanga </t>
  </si>
  <si>
    <t>Luz Angela Ortiz De Rueda y Adriana Ortiz Picón</t>
  </si>
  <si>
    <t xml:space="preserve">Lote no 2 - la siembra </t>
  </si>
  <si>
    <t>Teresa Ortiz Picon</t>
  </si>
  <si>
    <t>Lote no 3 - maguare</t>
  </si>
  <si>
    <t xml:space="preserve">Maricelina Acevedo Torres </t>
  </si>
  <si>
    <t xml:space="preserve">Alcira gonzales amezquita </t>
  </si>
  <si>
    <t>Villa luna</t>
  </si>
  <si>
    <t xml:space="preserve">Parcelación  Colina Los Reyes </t>
  </si>
  <si>
    <t xml:space="preserve">Condominio Colina Los Reyes </t>
  </si>
  <si>
    <t xml:space="preserve">Alexander Quiroga Gutiérrez </t>
  </si>
  <si>
    <t xml:space="preserve">Villa cristal </t>
  </si>
  <si>
    <t>Condominio Altos del Chicamocha etapa 1</t>
  </si>
  <si>
    <t xml:space="preserve">Altos del chicamocha III etapa </t>
  </si>
  <si>
    <t>Altos del chicamocha III etapa vereda el tabacal</t>
  </si>
  <si>
    <t>Maria giorgina camargo de gonzalez,luis ramon gonzalez perez</t>
  </si>
  <si>
    <t xml:space="preserve">El dorado lote 4 vereda tabacal </t>
  </si>
  <si>
    <t>Zoraida Ortega de Mendoza</t>
  </si>
  <si>
    <t>Lote N 12</t>
  </si>
  <si>
    <t>Janitt Villamizar Barragan</t>
  </si>
  <si>
    <t>Carrera 25#19-51 san francuisco</t>
  </si>
  <si>
    <t>Altos del chicamocha etapa 2</t>
  </si>
  <si>
    <t xml:space="preserve">Virginia Bueno Rojas y Luis Francisco Celis Carrillo </t>
  </si>
  <si>
    <t>El parque</t>
  </si>
  <si>
    <t xml:space="preserve">Orizava Silva Pedraza </t>
  </si>
  <si>
    <t>Villa hector lote 9</t>
  </si>
  <si>
    <t xml:space="preserve">Rosso fernando silva beltran </t>
  </si>
  <si>
    <t>Hacienda villa sofia vereda tabacal</t>
  </si>
  <si>
    <t>Jaime Garavito Garavito</t>
  </si>
  <si>
    <t xml:space="preserve">Parcela Villa mi lady </t>
  </si>
  <si>
    <t>Norha patricia niño carreño</t>
  </si>
  <si>
    <t xml:space="preserve">Lote 1 Vereda tabacal </t>
  </si>
  <si>
    <t xml:space="preserve">Gilberto rincón </t>
  </si>
  <si>
    <t>Pedro Julian Pinto Ramirez</t>
  </si>
  <si>
    <t>Finca el paraiso</t>
  </si>
  <si>
    <t>Tributario Innominado Cod. 2403030801010401</t>
  </si>
  <si>
    <t>Sandra Socorro Mantilla</t>
  </si>
  <si>
    <t>LOTE VILLA LAS MANTILLAS</t>
  </si>
  <si>
    <t>Argemiro pallares</t>
  </si>
  <si>
    <t>Villa rochy</t>
  </si>
  <si>
    <t xml:space="preserve">Flor Alba Silva Almeida </t>
  </si>
  <si>
    <t xml:space="preserve">Parcelación Abierta Villa Antigua </t>
  </si>
  <si>
    <t>Quebrada La Cañada Zona Alta Baja Central</t>
  </si>
  <si>
    <t>Tributario Innominado Cod. 2403030801010501</t>
  </si>
  <si>
    <t>María Ofelia Rico Barajas</t>
  </si>
  <si>
    <t xml:space="preserve">Dario escobar colmenares </t>
  </si>
  <si>
    <t xml:space="preserve">Finca la fe lote 2 vereda tabacal </t>
  </si>
  <si>
    <t xml:space="preserve">Alfonso mantilla niño </t>
  </si>
  <si>
    <t xml:space="preserve">Lote 8 villa jimena Vereda tabacal </t>
  </si>
  <si>
    <t xml:space="preserve">Eliseo lizarazo </t>
  </si>
  <si>
    <t xml:space="preserve">Buenos Aires </t>
  </si>
  <si>
    <t xml:space="preserve">Teresa pedraza carreño </t>
  </si>
  <si>
    <t xml:space="preserve">Lote 10 los almendros vereda tabacal </t>
  </si>
  <si>
    <t xml:space="preserve">Jose valbuena guerrero </t>
  </si>
  <si>
    <t xml:space="preserve">Finca Ebenezer vereda tabacal </t>
  </si>
  <si>
    <t xml:space="preserve">Rosana Niño Lizarazo          </t>
  </si>
  <si>
    <t xml:space="preserve">Finca los eucaliptos </t>
  </si>
  <si>
    <t xml:space="preserve">Rodrigo Carrillo Zambrano </t>
  </si>
  <si>
    <t>Quebrada La Cañada Zona Alta Baja Central Cod. 24030308010105</t>
  </si>
  <si>
    <t>Stelia Marin Franco / Alexander Salazar Velandia</t>
  </si>
  <si>
    <t>Villa Estelia</t>
  </si>
  <si>
    <t>John fredy peralta forero</t>
  </si>
  <si>
    <t xml:space="preserve">Lote 1 y 2 Finca el paraiso vereda tabacal </t>
  </si>
  <si>
    <t>Isabel Pedraza Carreño</t>
  </si>
  <si>
    <t xml:space="preserve">Finca el paraíso </t>
  </si>
  <si>
    <t xml:space="preserve">Maria giorgina camargo de gonzalez, luis ramon gonzalez perez </t>
  </si>
  <si>
    <t xml:space="preserve">Finca el paraiso lote 4 vereda el tabacal </t>
  </si>
  <si>
    <t>Inversiones J,V, LTDA</t>
  </si>
  <si>
    <t xml:space="preserve">Predio la gloria vereda el verde </t>
  </si>
  <si>
    <t xml:space="preserve">Predio el triunfo vereda el verde </t>
  </si>
  <si>
    <t>Quebrada La Cañada Zona Alta Baja Izquierda</t>
  </si>
  <si>
    <t>Tributario Innominado Cod. 2403030801011001</t>
  </si>
  <si>
    <t>José Alejandro Hernández Arango</t>
  </si>
  <si>
    <t>El Escondite</t>
  </si>
  <si>
    <t>El escondite</t>
  </si>
  <si>
    <t>Raimundo Rueda</t>
  </si>
  <si>
    <t>Saratebo y parcelación los trinitarios</t>
  </si>
  <si>
    <t>El paraiso</t>
  </si>
  <si>
    <t>Quebrada La Cañada Zona Alta Baja Izquierda Cod. 24030308010110</t>
  </si>
  <si>
    <t>Olga Bueno Achoque</t>
  </si>
  <si>
    <t xml:space="preserve">Lote 4 </t>
  </si>
  <si>
    <t xml:space="preserve">Sandra Virginia Carrillo Buitrago </t>
  </si>
  <si>
    <t>Cr 25 # 41-05 torre 4 apto 101 Alameda de Cañaveral</t>
  </si>
  <si>
    <t xml:space="preserve">Jairo carrillo </t>
  </si>
  <si>
    <t>El camilo vereda el verde</t>
  </si>
  <si>
    <t xml:space="preserve">La alborada </t>
  </si>
  <si>
    <t>Total</t>
  </si>
  <si>
    <t>Tributario Innominado Cod. 2403030801010502</t>
  </si>
  <si>
    <t xml:space="preserve">Olegario Mantilla Becerra </t>
  </si>
  <si>
    <t>Ahuyama</t>
  </si>
  <si>
    <t>Arroz</t>
  </si>
  <si>
    <t>Cebolla</t>
  </si>
  <si>
    <t>Frijol</t>
  </si>
  <si>
    <t>Mango</t>
  </si>
  <si>
    <t>Naranja</t>
  </si>
  <si>
    <t>Pla y Bana</t>
  </si>
  <si>
    <t>Tabaco</t>
  </si>
  <si>
    <t>Otros</t>
  </si>
  <si>
    <t>Porcinos</t>
  </si>
  <si>
    <t>Equinos</t>
  </si>
  <si>
    <t>Ovinos</t>
  </si>
  <si>
    <t>Avicultura</t>
  </si>
  <si>
    <t>Apicultura</t>
  </si>
  <si>
    <t>Sucesión de  Antonio Murallas Mantilla, casa deJuan de la cruz Murallas Mantilla</t>
  </si>
  <si>
    <t xml:space="preserve">Adolfo rodroguez ferreira </t>
  </si>
  <si>
    <t xml:space="preserve">Alexandra Leguizamon Baquero </t>
  </si>
  <si>
    <t>Alfredo aceros bautista</t>
  </si>
  <si>
    <t>Daniela Briñez Diaz</t>
  </si>
  <si>
    <t xml:space="preserve">Eliecer Bueno Carrizales </t>
  </si>
  <si>
    <t xml:space="preserve">Elkin mauricio ochoa </t>
  </si>
  <si>
    <t>Erminia aza silva</t>
  </si>
  <si>
    <t>Escuela rural la mojarra</t>
  </si>
  <si>
    <t>Faustino tello bautista y hermanos</t>
  </si>
  <si>
    <t>Geraldine barragan ferreira</t>
  </si>
  <si>
    <t xml:space="preserve">Hilda moreno Aza </t>
  </si>
  <si>
    <t xml:space="preserve">Inés Moreno </t>
  </si>
  <si>
    <t>Inversiones Cruz Acevedo</t>
  </si>
  <si>
    <t>Jesus aceros bautista</t>
  </si>
  <si>
    <t>Jose acero bautista</t>
  </si>
  <si>
    <t>Luis Enrique Tello Tello</t>
  </si>
  <si>
    <t xml:space="preserve">Luis francisco silva </t>
  </si>
  <si>
    <t>Luisa Moreno Aza</t>
  </si>
  <si>
    <t xml:space="preserve">Nancy Johana Bueno Espinoza  </t>
  </si>
  <si>
    <t>Sanchez Ramírez Camilo</t>
  </si>
  <si>
    <t>Saúl González Bilbao</t>
  </si>
  <si>
    <t>Nieves Acevedo Serrano</t>
  </si>
  <si>
    <t>Jazmin Liliana Acevedo Mantilla</t>
  </si>
  <si>
    <t>Jorge Acevedo Serrano</t>
  </si>
  <si>
    <t xml:space="preserve">Jose antonio delgado monrroy </t>
  </si>
  <si>
    <t xml:space="preserve">Emiro Almeida Santos </t>
  </si>
  <si>
    <t xml:space="preserve">Edelmira Carreño Carrillo y Duvan Andrés García Carreño- Finca Rosa Blanca </t>
  </si>
  <si>
    <t xml:space="preserve">José libardo rey sierra </t>
  </si>
  <si>
    <t>Orlando Almeida rondon</t>
  </si>
  <si>
    <t xml:space="preserve">Orlando almyda rondon </t>
  </si>
  <si>
    <t>Acueducto vereda rosa blanca</t>
  </si>
  <si>
    <t>Alcaldia municipal - Acueducto municipal los Santos</t>
  </si>
  <si>
    <t xml:space="preserve">Antonio niño Suarez </t>
  </si>
  <si>
    <t xml:space="preserve">José Del Carmen Díaz Macareo </t>
  </si>
  <si>
    <t>Luis Maria Niño y Maria del Carmen Niño Reyes</t>
  </si>
  <si>
    <t>Andelfo Parra Mendoza</t>
  </si>
  <si>
    <t>Primer Bueno silva</t>
  </si>
  <si>
    <t>Elsa Jaimes Quezada</t>
  </si>
  <si>
    <t xml:space="preserve">Esperanza Garza Mantilla </t>
  </si>
  <si>
    <t xml:space="preserve">Rosalba lizarazo garza </t>
  </si>
  <si>
    <t xml:space="preserve">Ciro Rómulo Padilla Sánchez </t>
  </si>
  <si>
    <t>Daniel vargas ayala</t>
  </si>
  <si>
    <t xml:space="preserve">Diana Patricia Ochoa Mantilla </t>
  </si>
  <si>
    <t>Edgar Alfonso bargas Sandoval</t>
  </si>
  <si>
    <t xml:space="preserve">Edgar Giovanny Carrillo Escobar </t>
  </si>
  <si>
    <t>Eliecer bueno carrizales</t>
  </si>
  <si>
    <t>Elkin mauricio ochoa mantilla</t>
  </si>
  <si>
    <t xml:space="preserve">Fernando alirio Carrizales </t>
  </si>
  <si>
    <t>Gregorio aza tello</t>
  </si>
  <si>
    <t xml:space="preserve">Héctor Arismendy Padilla Paternina </t>
  </si>
  <si>
    <t>Helena Aza Tello</t>
  </si>
  <si>
    <t xml:space="preserve">Jean Carlos Amaya Callejas </t>
  </si>
  <si>
    <t>Jesus Tello</t>
  </si>
  <si>
    <t>José Joaquín Díaz Becerra</t>
  </si>
  <si>
    <t xml:space="preserve">Jose vicente mantilla alvarez </t>
  </si>
  <si>
    <t>Julio Aza Tello</t>
  </si>
  <si>
    <t>Leonardo vesga chaparro</t>
  </si>
  <si>
    <t xml:space="preserve">Marcela Ochoa Mantilla </t>
  </si>
  <si>
    <t xml:space="preserve">Marco aza silva </t>
  </si>
  <si>
    <t>Maria Monica florez tami</t>
  </si>
  <si>
    <t>Misael Gonzalez</t>
  </si>
  <si>
    <t xml:space="preserve">Ricardo parra parra </t>
  </si>
  <si>
    <t xml:space="preserve">Sucesión de Tomás Gómez, casa de Luis Antonio Gómez Sánchez </t>
  </si>
  <si>
    <t>Sucesión de Tomas Gómez, casa de Luz Dary</t>
  </si>
  <si>
    <t>Sucesión del señor Antonio Bueno Ferreira</t>
  </si>
  <si>
    <t xml:space="preserve">Sucesión Tomás Gómez, casa de Luis Alfonso Gomez rojas </t>
  </si>
  <si>
    <t xml:space="preserve">Wladimir Ramírez </t>
  </si>
  <si>
    <t>Héctor Alonso Gómez Chaparro</t>
  </si>
  <si>
    <t>Inversiones Valdivieso Rueda S.A.S</t>
  </si>
  <si>
    <t>José Gabriel Sarmiento Ferreira</t>
  </si>
  <si>
    <t>Juan Carlos Sarmiento Ferreira</t>
  </si>
  <si>
    <t>Alberto Beltran Sanchez</t>
  </si>
  <si>
    <t>Jose gabriel sarmiento ferreira</t>
  </si>
  <si>
    <t xml:space="preserve">Lucia Cristina samiento Ferreira </t>
  </si>
  <si>
    <t>Acueducto Regional de los Santos</t>
  </si>
  <si>
    <t xml:space="preserve">Carlos Gerardo Wilches Carrascal </t>
  </si>
  <si>
    <t>Clara Ines Sarmiento</t>
  </si>
  <si>
    <t>Jose Antonio Delgado</t>
  </si>
  <si>
    <t>Josue Torres Jimenez</t>
  </si>
  <si>
    <t xml:space="preserve">Judith Padilla de Díaz </t>
  </si>
  <si>
    <t xml:space="preserve">Sergio Andrés Ayala </t>
  </si>
  <si>
    <t xml:space="preserve">Congregación religiosa hermanitas de la anunciación </t>
  </si>
  <si>
    <t xml:space="preserve">Luis Fernando Parra Mantilla </t>
  </si>
  <si>
    <t xml:space="preserve">Gabriel pinilla </t>
  </si>
  <si>
    <t>Miguel angel suarez rosso</t>
  </si>
  <si>
    <t>Nohemi camacho pinzon</t>
  </si>
  <si>
    <t xml:space="preserve">Alicia Yolanda Uribe poveda </t>
  </si>
  <si>
    <t xml:space="preserve">Edilma Rosa Sanchez Ortiz </t>
  </si>
  <si>
    <t xml:space="preserve">Flor Elva Uribe Poveda </t>
  </si>
  <si>
    <t xml:space="preserve">José Ángel Uribe poveda </t>
  </si>
  <si>
    <t>Pedro Julio Florez Arana y Lorena Florez Arana</t>
  </si>
  <si>
    <t xml:space="preserve">Víctor Manuel Uribe poveda </t>
  </si>
  <si>
    <t>Alba Patricia Salazar Navas</t>
  </si>
  <si>
    <t>Reinaldo Lizarazo Guevara</t>
  </si>
  <si>
    <t>Luis antonio soto castellanos</t>
  </si>
  <si>
    <t>Hernan Delgado Espinosa</t>
  </si>
  <si>
    <t xml:space="preserve">Hernan delgado mantilla, paola andrea delgado espinosa </t>
  </si>
  <si>
    <t>Jose antonio delgado monrroy</t>
  </si>
  <si>
    <t>Anyerlyn Juliana Díaz Ojeda</t>
  </si>
  <si>
    <t xml:space="preserve">Alirio diaz santos </t>
  </si>
  <si>
    <t xml:space="preserve">Ana celmira trujillo tarazona </t>
  </si>
  <si>
    <t xml:space="preserve">Aureliano Almeida Serrano </t>
  </si>
  <si>
    <t xml:space="preserve">Carlos Miguel Uribe </t>
  </si>
  <si>
    <t xml:space="preserve">Carmen Felisa Martínez </t>
  </si>
  <si>
    <t xml:space="preserve">Cecilia Sarmiento </t>
  </si>
  <si>
    <t>Edgar Niño Niño</t>
  </si>
  <si>
    <t>Edilia lizarazo Niño</t>
  </si>
  <si>
    <t>Edilia Lizarazo Niño y otros</t>
  </si>
  <si>
    <t>Gilberto alhucema carrillo</t>
  </si>
  <si>
    <t>Giomar moreno mendoza</t>
  </si>
  <si>
    <t>Gregorio Uribe poveda</t>
  </si>
  <si>
    <t xml:space="preserve">Heriberto niño niño </t>
  </si>
  <si>
    <t xml:space="preserve">Jhoana pinto salazar </t>
  </si>
  <si>
    <t xml:space="preserve">Luis Antonio rueda Gomez </t>
  </si>
  <si>
    <t>Luis Francisco Pedraza Mantilla</t>
  </si>
  <si>
    <t xml:space="preserve">María de los Ángeles Uribe poveda </t>
  </si>
  <si>
    <t xml:space="preserve">Marlene lozano prieto </t>
  </si>
  <si>
    <t xml:space="preserve">Nelson tabares diaz </t>
  </si>
  <si>
    <t xml:space="preserve">Pablo jose Uribe poveda </t>
  </si>
  <si>
    <t>Yecsenia Mendoza quintero</t>
  </si>
  <si>
    <t>Tributario Innominado Cod. 24030308010301-02</t>
  </si>
  <si>
    <t>Quebrada Los Pozos Zona Baja  Cod. 24030308010301</t>
  </si>
  <si>
    <t>Tributario Innominado Cod.  24030308010302-01</t>
  </si>
  <si>
    <t>Tributario Innominado Cod  24030308010302-02</t>
  </si>
  <si>
    <t>Tributario Innominado Cod 24030308010302-05</t>
  </si>
  <si>
    <t>Tributario Innominado Cod.  24030308010302-10</t>
  </si>
  <si>
    <t>Tributario Innominado Cod  24030308010302-12</t>
  </si>
  <si>
    <t>Tributario Innominado Cod.  24030308010302-13</t>
  </si>
  <si>
    <t>Quebrada Los Pozos Zona Alta Cod.  24030308010302</t>
  </si>
  <si>
    <t>Tributario Innominado Cod.  24030308010108-01</t>
  </si>
  <si>
    <t>Tributario Innominado Cod.  24030308010108-03</t>
  </si>
  <si>
    <t>Tributario Innominado Cod. No.  24030308010108-04</t>
  </si>
  <si>
    <t>Quebrada La Cañada Zona Baja Baja Cod.  24030308010108</t>
  </si>
  <si>
    <t>Tributario Innominado Cod.  24030308010107-01</t>
  </si>
  <si>
    <t>Tributario Innominado Cod.  24030308010107-01-01</t>
  </si>
  <si>
    <t>Tributario Innominado Cod.  24030308010107-01-02</t>
  </si>
  <si>
    <t>Quebrada La Cañada Zona Baja Alta Cod.  24030308010107</t>
  </si>
  <si>
    <t>Tributario Innominado Cod. 24030308010106-02</t>
  </si>
  <si>
    <t>Tributario Quebrada El Pantano Cod.  24030308010106</t>
  </si>
  <si>
    <t>Tributario Innominado Cod.  24030308010109-01</t>
  </si>
  <si>
    <t>Tributario Quebrada Arenosa Cod.  24030308010109-02</t>
  </si>
  <si>
    <t>Tributario Innominado Cod.  24030308010109-03</t>
  </si>
  <si>
    <t>Tributario Innominado Cod.  24030308010109-04</t>
  </si>
  <si>
    <t>Tributario Innominado Cod. 24030308010109-05</t>
  </si>
  <si>
    <t>Quebrada La Cañada Zona Media Alta Cod.  24030308010109</t>
  </si>
  <si>
    <t xml:space="preserve">Quebrada Los Pozos Zona Baja </t>
  </si>
  <si>
    <t>Quebrada Los Pozos Zona Alta</t>
  </si>
  <si>
    <t xml:space="preserve">Quebrada La Cañada Zona Baja Baja </t>
  </si>
  <si>
    <t xml:space="preserve">Quebrada La Cañada Zona Baja Alta </t>
  </si>
  <si>
    <t xml:space="preserve">Quebrada La Cañada Zona Media Baja </t>
  </si>
  <si>
    <t xml:space="preserve">Quebrada La Cañada Zona Media Alta </t>
  </si>
  <si>
    <t>Cultivos (Ha.) Solo el 25% del área Inicial</t>
  </si>
  <si>
    <t>Cultivos (Ha.) Solo el 50% del área inicial</t>
  </si>
  <si>
    <t>Cultivos (Ha.) solo el 25% del área inicial</t>
  </si>
  <si>
    <t>Cultivos (Ha.) solo el 50% del área inicial</t>
  </si>
  <si>
    <t>Cultivos (Ha.) solo el 40% del áre inicial</t>
  </si>
  <si>
    <t>Tributario Innominado Cod. 24030308010104010104 Solo el 20% del área inicial del uso agricola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</si>
</sst>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  <numFmt numFmtId="167" formatCode="0.0000"/>
    <numFmt numFmtId="168" formatCode="0.0"/>
    <numFmt numFmtId="169" formatCode="0.0%"/>
    <numFmt numFmtId="170" formatCode="0.000"/>
    <numFmt numFmtId="171" formatCode="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vertAlign val="superscript"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1" fontId="4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8" fontId="4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8" xfId="1" applyNumberFormat="1" applyFont="1" applyFill="1" applyBorder="1" applyAlignment="1" applyProtection="1">
      <alignment horizontal="center" vertical="center"/>
    </xf>
    <xf numFmtId="167" fontId="5" fillId="0" borderId="4" xfId="0" applyNumberFormat="1" applyFont="1" applyBorder="1" applyAlignment="1">
      <alignment horizontal="center" vertical="center" wrapText="1"/>
    </xf>
    <xf numFmtId="10" fontId="4" fillId="0" borderId="4" xfId="2" applyNumberFormat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8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67" fontId="2" fillId="0" borderId="9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>
      <alignment horizontal="center" vertical="center"/>
    </xf>
    <xf numFmtId="1" fontId="4" fillId="0" borderId="4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 wrapText="1"/>
    </xf>
    <xf numFmtId="1" fontId="4" fillId="0" borderId="4" xfId="1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7" fontId="0" fillId="0" borderId="0" xfId="0" applyNumberFormat="1"/>
    <xf numFmtId="2" fontId="2" fillId="0" borderId="8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169" fontId="0" fillId="0" borderId="4" xfId="2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9" fontId="0" fillId="0" borderId="0" xfId="2" applyFont="1"/>
    <xf numFmtId="10" fontId="0" fillId="0" borderId="4" xfId="2" applyNumberFormat="1" applyFont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9" fontId="6" fillId="0" borderId="4" xfId="2" applyFont="1" applyBorder="1" applyAlignment="1">
      <alignment horizontal="center" vertical="center" wrapText="1"/>
    </xf>
    <xf numFmtId="169" fontId="6" fillId="0" borderId="4" xfId="2" applyNumberFormat="1" applyFont="1" applyBorder="1" applyAlignment="1">
      <alignment horizontal="center" vertical="center" wrapText="1"/>
    </xf>
    <xf numFmtId="10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2" fontId="2" fillId="0" borderId="4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0" fontId="10" fillId="0" borderId="4" xfId="2" applyNumberFormat="1" applyFont="1" applyBorder="1" applyAlignment="1">
      <alignment horizontal="center" vertical="center" wrapText="1"/>
    </xf>
    <xf numFmtId="169" fontId="10" fillId="0" borderId="4" xfId="2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/>
    </xf>
    <xf numFmtId="9" fontId="10" fillId="0" borderId="4" xfId="2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170" fontId="4" fillId="0" borderId="4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" fontId="4" fillId="0" borderId="8" xfId="1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71" fontId="4" fillId="0" borderId="4" xfId="0" applyNumberFormat="1" applyFont="1" applyBorder="1" applyAlignment="1">
      <alignment horizontal="center" vertical="center" wrapText="1"/>
    </xf>
    <xf numFmtId="171" fontId="4" fillId="0" borderId="1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10" fontId="2" fillId="0" borderId="4" xfId="2" applyNumberFormat="1" applyFont="1" applyBorder="1" applyAlignment="1">
      <alignment horizontal="center" vertical="center" wrapText="1"/>
    </xf>
    <xf numFmtId="9" fontId="2" fillId="0" borderId="4" xfId="2" applyFont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170" fontId="4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1" fontId="4" fillId="3" borderId="8" xfId="1" applyNumberFormat="1" applyFont="1" applyFill="1" applyBorder="1" applyAlignment="1" applyProtection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1" fontId="4" fillId="3" borderId="4" xfId="0" applyNumberFormat="1" applyFont="1" applyFill="1" applyBorder="1" applyAlignment="1">
      <alignment horizontal="center" vertical="center" wrapText="1"/>
    </xf>
    <xf numFmtId="171" fontId="4" fillId="3" borderId="1" xfId="0" applyNumberFormat="1" applyFont="1" applyFill="1" applyBorder="1" applyAlignment="1">
      <alignment horizontal="center" vertical="center" wrapText="1"/>
    </xf>
    <xf numFmtId="167" fontId="5" fillId="3" borderId="4" xfId="0" applyNumberFormat="1" applyFont="1" applyFill="1" applyBorder="1" applyAlignment="1">
      <alignment horizontal="center" vertical="center" wrapText="1"/>
    </xf>
    <xf numFmtId="0" fontId="0" fillId="3" borderId="0" xfId="0" applyFill="1"/>
    <xf numFmtId="167" fontId="0" fillId="0" borderId="0" xfId="0" applyNumberFormat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70" fontId="4" fillId="0" borderId="8" xfId="0" applyNumberFormat="1" applyFont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wrapText="1"/>
    </xf>
    <xf numFmtId="166" fontId="2" fillId="4" borderId="7" xfId="1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/>
    </xf>
    <xf numFmtId="1" fontId="6" fillId="0" borderId="8" xfId="1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wrapText="1"/>
    </xf>
    <xf numFmtId="166" fontId="2" fillId="4" borderId="4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4031-6C10-4D11-83F2-DCA8AF0C9731}">
  <dimension ref="A1:AU537"/>
  <sheetViews>
    <sheetView showGridLines="0" tabSelected="1" zoomScale="98" zoomScaleNormal="98" workbookViewId="0">
      <pane xSplit="6" ySplit="2" topLeftCell="G525" activePane="bottomRight" state="frozen"/>
      <selection pane="topRight" activeCell="G1" sqref="G1"/>
      <selection pane="bottomLeft" activeCell="A3" sqref="A3"/>
      <selection pane="bottomRight" sqref="A1:XFD1048576"/>
    </sheetView>
  </sheetViews>
  <sheetFormatPr baseColWidth="10" defaultRowHeight="15" x14ac:dyDescent="0.25"/>
  <cols>
    <col min="1" max="2" width="6" customWidth="1"/>
    <col min="3" max="3" width="8.28515625" customWidth="1"/>
    <col min="4" max="4" width="24.85546875" customWidth="1"/>
    <col min="5" max="5" width="11.7109375" customWidth="1"/>
    <col min="6" max="6" width="10.85546875" customWidth="1"/>
    <col min="7" max="7" width="10.5703125" customWidth="1"/>
    <col min="8" max="22" width="10.28515625" customWidth="1"/>
    <col min="23" max="24" width="12.28515625" customWidth="1"/>
    <col min="44" max="44" width="13" bestFit="1" customWidth="1"/>
  </cols>
  <sheetData>
    <row r="1" spans="1:47" ht="44.45" customHeight="1" x14ac:dyDescent="0.25">
      <c r="A1" s="152" t="s">
        <v>31</v>
      </c>
      <c r="B1" s="152" t="s">
        <v>32</v>
      </c>
      <c r="C1" s="153" t="s">
        <v>0</v>
      </c>
      <c r="D1" s="154" t="s">
        <v>1</v>
      </c>
      <c r="E1" s="154" t="s">
        <v>2</v>
      </c>
      <c r="F1" s="155" t="s">
        <v>3</v>
      </c>
      <c r="G1" s="147" t="s">
        <v>4</v>
      </c>
      <c r="H1" s="145" t="s">
        <v>5</v>
      </c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7" t="s">
        <v>6</v>
      </c>
      <c r="X1" s="147" t="s">
        <v>7</v>
      </c>
      <c r="Y1" s="145" t="s">
        <v>8</v>
      </c>
      <c r="Z1" s="145" t="s">
        <v>9</v>
      </c>
      <c r="AA1" s="145"/>
      <c r="AB1" s="145"/>
      <c r="AC1" s="145"/>
      <c r="AD1" s="145"/>
      <c r="AE1" s="145"/>
      <c r="AF1" s="145" t="s">
        <v>30</v>
      </c>
      <c r="AG1" s="146" t="s">
        <v>10</v>
      </c>
      <c r="AH1" s="146"/>
      <c r="AI1" s="147" t="s">
        <v>11</v>
      </c>
      <c r="AJ1" s="147" t="s">
        <v>12</v>
      </c>
      <c r="AK1" s="116" t="s">
        <v>13</v>
      </c>
    </row>
    <row r="2" spans="1:47" ht="44.45" customHeight="1" x14ac:dyDescent="0.25">
      <c r="A2" s="152"/>
      <c r="B2" s="152"/>
      <c r="C2" s="153"/>
      <c r="D2" s="154"/>
      <c r="E2" s="154"/>
      <c r="F2" s="155"/>
      <c r="G2" s="147"/>
      <c r="H2" s="101" t="s">
        <v>14</v>
      </c>
      <c r="I2" s="101" t="s">
        <v>15</v>
      </c>
      <c r="J2" s="101" t="s">
        <v>16</v>
      </c>
      <c r="K2" s="101" t="s">
        <v>17</v>
      </c>
      <c r="L2" s="101" t="s">
        <v>69</v>
      </c>
      <c r="M2" s="101" t="s">
        <v>71</v>
      </c>
      <c r="N2" s="101" t="s">
        <v>70</v>
      </c>
      <c r="O2" s="101" t="s">
        <v>72</v>
      </c>
      <c r="P2" s="101" t="s">
        <v>74</v>
      </c>
      <c r="Q2" s="101" t="s">
        <v>73</v>
      </c>
      <c r="R2" s="101" t="s">
        <v>152</v>
      </c>
      <c r="S2" s="101" t="s">
        <v>121</v>
      </c>
      <c r="T2" s="101" t="s">
        <v>122</v>
      </c>
      <c r="U2" s="101" t="s">
        <v>170</v>
      </c>
      <c r="V2" s="101" t="s">
        <v>18</v>
      </c>
      <c r="W2" s="147"/>
      <c r="X2" s="147"/>
      <c r="Y2" s="145"/>
      <c r="Z2" s="101" t="s">
        <v>19</v>
      </c>
      <c r="AA2" s="101" t="s">
        <v>20</v>
      </c>
      <c r="AB2" s="101" t="s">
        <v>21</v>
      </c>
      <c r="AC2" s="101" t="s">
        <v>192</v>
      </c>
      <c r="AD2" s="101" t="s">
        <v>193</v>
      </c>
      <c r="AE2" s="101" t="s">
        <v>22</v>
      </c>
      <c r="AF2" s="145"/>
      <c r="AG2" s="102" t="s">
        <v>24</v>
      </c>
      <c r="AH2" s="100" t="s">
        <v>23</v>
      </c>
      <c r="AI2" s="147"/>
      <c r="AJ2" s="147"/>
      <c r="AK2" s="116"/>
      <c r="AU2" s="21"/>
    </row>
    <row r="3" spans="1:47" ht="20.25" customHeight="1" x14ac:dyDescent="0.25">
      <c r="A3" s="103"/>
      <c r="B3" s="103"/>
      <c r="C3" s="104"/>
      <c r="D3" s="105"/>
      <c r="E3" s="105"/>
      <c r="F3" s="106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7"/>
      <c r="X3" s="107"/>
      <c r="Y3" s="109"/>
      <c r="Z3" s="108"/>
      <c r="AA3" s="108"/>
      <c r="AB3" s="108"/>
      <c r="AC3" s="108"/>
      <c r="AD3" s="108"/>
      <c r="AE3" s="108"/>
      <c r="AF3" s="109"/>
      <c r="AG3" s="102"/>
      <c r="AH3" s="110"/>
      <c r="AI3" s="111"/>
      <c r="AJ3" s="111"/>
      <c r="AK3" s="6"/>
      <c r="AU3" s="21"/>
    </row>
    <row r="4" spans="1:47" ht="44.45" customHeight="1" x14ac:dyDescent="0.25">
      <c r="A4" s="148">
        <v>1</v>
      </c>
      <c r="B4" s="150">
        <v>1</v>
      </c>
      <c r="C4" s="130" t="s">
        <v>33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2"/>
      <c r="AH4" s="132"/>
      <c r="AI4" s="34">
        <v>1.474028670425507</v>
      </c>
      <c r="AJ4" s="5"/>
      <c r="AK4" s="6"/>
    </row>
    <row r="5" spans="1:47" ht="44.45" customHeight="1" x14ac:dyDescent="0.25">
      <c r="A5" s="148"/>
      <c r="B5" s="150"/>
      <c r="C5" s="143" t="s">
        <v>144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7"/>
      <c r="AH5" s="18"/>
      <c r="AI5" s="26"/>
      <c r="AJ5" s="8"/>
      <c r="AK5" s="4"/>
    </row>
    <row r="6" spans="1:47" ht="44.45" customHeight="1" x14ac:dyDescent="0.25">
      <c r="A6" s="148"/>
      <c r="B6" s="150"/>
      <c r="C6" s="3">
        <v>1</v>
      </c>
      <c r="D6" s="23" t="s">
        <v>34</v>
      </c>
      <c r="E6" s="23" t="s">
        <v>53</v>
      </c>
      <c r="F6" s="23">
        <v>0.37</v>
      </c>
      <c r="G6" s="10"/>
      <c r="H6" s="3"/>
      <c r="I6" s="9"/>
      <c r="J6" s="3"/>
      <c r="K6" s="3"/>
      <c r="L6" s="11"/>
      <c r="M6" s="27">
        <v>0.1</v>
      </c>
      <c r="N6" s="27"/>
      <c r="O6" s="27"/>
      <c r="P6" s="27"/>
      <c r="Q6" s="27"/>
      <c r="R6" s="27"/>
      <c r="S6" s="27"/>
      <c r="T6" s="27"/>
      <c r="U6" s="27"/>
      <c r="V6" s="11"/>
      <c r="W6" s="23">
        <v>8</v>
      </c>
      <c r="X6" s="23">
        <v>3</v>
      </c>
      <c r="Y6" s="12"/>
      <c r="Z6" s="11"/>
      <c r="AA6" s="5"/>
      <c r="AB6" s="20">
        <v>10</v>
      </c>
      <c r="AC6" s="20"/>
      <c r="AD6" s="20"/>
      <c r="AE6" s="8"/>
      <c r="AF6" s="8"/>
      <c r="AG6" s="23">
        <v>-73.042192999999997</v>
      </c>
      <c r="AH6" s="23">
        <v>6.8440960000000004</v>
      </c>
      <c r="AI6" s="13"/>
      <c r="AJ6" s="13">
        <f>($H6*0.0001)+(0.1*$I6)+($J6*0.1)+($K6*0.1)+($L6*0.1)+($M6*0.1)+($N6*0.1)+($O6*0.1)+($P6*0.1)+($V6*0.1)+($W6*(130/(3600*24)))+($X6*0.001)+($Z6*0.0006)+($AA6*0.002)+($AB6*0.0002)+($AE6*0.000004)+($AF6*0.0004)+($Q6*0.1)+($R6*0.1)+($S6*0.1)+($T6*0.1)+($U6*0.1)+($AC6*3.47222222222222E-09)+($AD6*1.15740740740741E-09)</f>
        <v>2.703703703703704E-2</v>
      </c>
      <c r="AK6" s="14">
        <f>AJ6/$AI$4</f>
        <v>1.8342273511703321E-2</v>
      </c>
      <c r="AN6">
        <f>0.001/0.75</f>
        <v>1.3333333333333333E-3</v>
      </c>
    </row>
    <row r="7" spans="1:47" ht="44.45" customHeight="1" x14ac:dyDescent="0.25">
      <c r="A7" s="148"/>
      <c r="B7" s="150"/>
      <c r="C7" s="3">
        <v>2</v>
      </c>
      <c r="D7" s="23" t="s">
        <v>48</v>
      </c>
      <c r="E7" s="23" t="s">
        <v>66</v>
      </c>
      <c r="F7" s="23">
        <v>0.27</v>
      </c>
      <c r="G7" s="3"/>
      <c r="H7" s="3"/>
      <c r="I7" s="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23">
        <v>2</v>
      </c>
      <c r="X7" s="23">
        <v>3</v>
      </c>
      <c r="Y7" s="3"/>
      <c r="Z7" s="3"/>
      <c r="AA7" s="8"/>
      <c r="AB7" s="8"/>
      <c r="AC7" s="8"/>
      <c r="AD7" s="8"/>
      <c r="AE7" s="8"/>
      <c r="AF7" s="8"/>
      <c r="AG7" s="23">
        <v>-73.042179000000004</v>
      </c>
      <c r="AH7" s="23">
        <v>6.8441049999999999</v>
      </c>
      <c r="AI7" s="13"/>
      <c r="AJ7" s="13">
        <f t="shared" ref="AJ7:AJ8" si="0">($H7*0.0001)+(0.1*$I7)+($J7*0.1)+($K7*0.1)+($L7*0.1)+($M7*0.1)+($N7*0.1)+($O7*0.1)+($P7*0.1)+($V7*0.1)+($W7*(130/(3600*24)))+($X7*0.001)+($Z7*0.0006)+($AA7*0.002)+($AB7*0.0002)+($AE7*0.000004)+($AF7*0.0004)+($Q7*0.1)+($R7*0.1)+($S7*0.1)+($T7*0.1)+($U7*0.1)+($AC7*3.47222222222222E-09)+($AD7*1.15740740740741E-09)</f>
        <v>6.0092592592592593E-3</v>
      </c>
      <c r="AK7" s="14">
        <f t="shared" ref="AK7:AK8" si="1">AJ7/$AI$4</f>
        <v>4.0767587359915938E-3</v>
      </c>
    </row>
    <row r="8" spans="1:47" ht="44.45" customHeight="1" x14ac:dyDescent="0.25">
      <c r="A8" s="149"/>
      <c r="B8" s="151"/>
      <c r="C8" s="3">
        <v>3</v>
      </c>
      <c r="D8" s="23" t="s">
        <v>49</v>
      </c>
      <c r="E8" s="23" t="s">
        <v>67</v>
      </c>
      <c r="F8" s="23">
        <v>0.25</v>
      </c>
      <c r="G8" s="3"/>
      <c r="H8" s="3"/>
      <c r="I8" s="9"/>
      <c r="J8" s="3"/>
      <c r="K8" s="3"/>
      <c r="L8" s="9">
        <v>0.1</v>
      </c>
      <c r="M8" s="9"/>
      <c r="N8" s="9"/>
      <c r="O8" s="9"/>
      <c r="P8" s="9"/>
      <c r="Q8" s="9"/>
      <c r="R8" s="9"/>
      <c r="S8" s="9"/>
      <c r="T8" s="9"/>
      <c r="U8" s="9"/>
      <c r="V8" s="9"/>
      <c r="W8" s="23">
        <v>15</v>
      </c>
      <c r="X8" s="23">
        <v>5</v>
      </c>
      <c r="Y8" s="3"/>
      <c r="Z8" s="3"/>
      <c r="AA8" s="8"/>
      <c r="AB8" s="8"/>
      <c r="AC8" s="8"/>
      <c r="AD8" s="8"/>
      <c r="AE8" s="23">
        <v>200</v>
      </c>
      <c r="AF8" s="8"/>
      <c r="AG8" s="23">
        <v>-73.041904000000002</v>
      </c>
      <c r="AH8" s="23">
        <v>6.8434220000000003</v>
      </c>
      <c r="AI8" s="13"/>
      <c r="AJ8" s="13">
        <f t="shared" si="0"/>
        <v>3.8369444444444442E-2</v>
      </c>
      <c r="AK8" s="14">
        <f t="shared" si="1"/>
        <v>2.6030324385324443E-2</v>
      </c>
    </row>
    <row r="9" spans="1:47" ht="44.45" customHeight="1" x14ac:dyDescent="0.25">
      <c r="A9" s="44"/>
      <c r="B9" s="45"/>
      <c r="C9" s="46"/>
      <c r="D9" s="20"/>
      <c r="E9" s="20"/>
      <c r="F9" s="20"/>
      <c r="G9" s="46"/>
      <c r="H9" s="46"/>
      <c r="I9" s="47"/>
      <c r="J9" s="46"/>
      <c r="K9" s="46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20"/>
      <c r="X9" s="20"/>
      <c r="Y9" s="46"/>
      <c r="Z9" s="46"/>
      <c r="AA9" s="48"/>
      <c r="AB9" s="48"/>
      <c r="AC9" s="48"/>
      <c r="AD9" s="48"/>
      <c r="AE9" s="20"/>
      <c r="AF9" s="48"/>
      <c r="AG9" s="20"/>
      <c r="AH9" s="20"/>
      <c r="AI9" s="49" t="s">
        <v>323</v>
      </c>
      <c r="AJ9" s="49">
        <f>SUM(AJ6:AJ8)</f>
        <v>7.1415740740740738E-2</v>
      </c>
      <c r="AK9" s="52">
        <f>SUM(AK6:AK8)</f>
        <v>4.8449356633019358E-2</v>
      </c>
    </row>
    <row r="10" spans="1:47" ht="44.45" customHeight="1" x14ac:dyDescent="0.25">
      <c r="AI10" s="35">
        <v>4.1718956114172991</v>
      </c>
    </row>
    <row r="11" spans="1:47" ht="44.45" customHeight="1" x14ac:dyDescent="0.25">
      <c r="C11" s="140" t="s">
        <v>145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7"/>
      <c r="AH11" s="17"/>
      <c r="AI11" s="7"/>
      <c r="AJ11" s="8"/>
      <c r="AK11" s="4"/>
    </row>
    <row r="12" spans="1:47" ht="44.45" customHeight="1" x14ac:dyDescent="0.25">
      <c r="C12" s="3">
        <v>1</v>
      </c>
      <c r="D12" s="23" t="s">
        <v>42</v>
      </c>
      <c r="E12" s="23" t="s">
        <v>61</v>
      </c>
      <c r="F12" s="23">
        <v>7</v>
      </c>
      <c r="G12" s="10"/>
      <c r="H12" s="3"/>
      <c r="I12" s="9"/>
      <c r="J12" s="9">
        <v>3.5</v>
      </c>
      <c r="K12" s="3"/>
      <c r="L12" s="23"/>
      <c r="M12" s="9"/>
      <c r="N12" s="9"/>
      <c r="O12" s="9"/>
      <c r="P12" s="9"/>
      <c r="Q12" s="9"/>
      <c r="R12" s="9"/>
      <c r="S12" s="9"/>
      <c r="T12" s="9"/>
      <c r="U12" s="9"/>
      <c r="V12" s="3"/>
      <c r="W12" s="23">
        <v>6</v>
      </c>
      <c r="X12" s="23">
        <v>12</v>
      </c>
      <c r="Y12" s="28"/>
      <c r="Z12" s="23">
        <v>15</v>
      </c>
      <c r="AA12" s="8"/>
      <c r="AB12" s="23">
        <v>10</v>
      </c>
      <c r="AC12" s="23"/>
      <c r="AD12" s="23"/>
      <c r="AE12" s="8"/>
      <c r="AF12" s="8"/>
      <c r="AG12" s="23">
        <v>-73.043046000000004</v>
      </c>
      <c r="AH12" s="23">
        <v>6.8397690000000004</v>
      </c>
      <c r="AI12" s="13"/>
      <c r="AJ12" s="13">
        <f t="shared" ref="AJ12:AJ16" si="2">($H12*0.0001)+(0.1*$I12)+($J12*0.1)+($K12*0.1)+($L12*0.1)+($M12*0.1)+($N12*0.1)+($O12*0.1)+($P12*0.1)+($V12*0.1)+($W12*(130/(3600*24)))+($X12*0.001)+($Z12*0.0006)+($AA12*0.002)+($AB12*0.0002)+($AE12*0.000004)+($AF12*0.0004)+($Q12*0.1)+($R12*0.1)+($S12*0.1)+($T12*0.1)+($U12*0.1)+($AC12*3.47222222222222E-09)+($AD12*1.15740740740741E-09)</f>
        <v>0.38202777777777785</v>
      </c>
      <c r="AK12" s="14">
        <f>AJ12/$AI$10</f>
        <v>9.1571748998770686E-2</v>
      </c>
      <c r="AL12" s="42"/>
    </row>
    <row r="13" spans="1:47" ht="44.45" customHeight="1" x14ac:dyDescent="0.25">
      <c r="C13" s="3">
        <v>2</v>
      </c>
      <c r="D13" s="23" t="s">
        <v>43</v>
      </c>
      <c r="E13" s="23" t="s">
        <v>61</v>
      </c>
      <c r="F13" s="23">
        <v>7</v>
      </c>
      <c r="G13" s="3"/>
      <c r="H13" s="3"/>
      <c r="I13" s="9"/>
      <c r="J13" s="3"/>
      <c r="K13" s="3"/>
      <c r="L13" s="23">
        <v>3</v>
      </c>
      <c r="M13" s="3"/>
      <c r="N13" s="9">
        <v>0.5</v>
      </c>
      <c r="O13" s="9">
        <v>0.5</v>
      </c>
      <c r="P13" s="9">
        <v>1</v>
      </c>
      <c r="Q13" s="9"/>
      <c r="R13" s="9"/>
      <c r="S13" s="9"/>
      <c r="T13" s="9"/>
      <c r="U13" s="9"/>
      <c r="V13" s="3"/>
      <c r="W13" s="23">
        <v>7</v>
      </c>
      <c r="X13" s="23">
        <v>5</v>
      </c>
      <c r="Y13" s="3"/>
      <c r="Z13" s="23"/>
      <c r="AA13" s="8"/>
      <c r="AB13" s="8"/>
      <c r="AC13" s="8"/>
      <c r="AD13" s="8"/>
      <c r="AE13" s="8"/>
      <c r="AF13" s="8"/>
      <c r="AG13" s="23">
        <v>-73.045692000000003</v>
      </c>
      <c r="AH13" s="23">
        <v>6.8385769999999999</v>
      </c>
      <c r="AI13" s="13"/>
      <c r="AJ13" s="13">
        <f t="shared" si="2"/>
        <v>0.51553240740740736</v>
      </c>
      <c r="AK13" s="14">
        <f t="shared" ref="AK13:AK16" si="3">AJ13/$AI$10</f>
        <v>0.12357270061996299</v>
      </c>
    </row>
    <row r="14" spans="1:47" ht="44.45" customHeight="1" x14ac:dyDescent="0.25">
      <c r="C14" s="3">
        <v>3</v>
      </c>
      <c r="D14" s="23" t="s">
        <v>44</v>
      </c>
      <c r="E14" s="23" t="s">
        <v>62</v>
      </c>
      <c r="F14" s="23">
        <v>1.536</v>
      </c>
      <c r="G14" s="3"/>
      <c r="H14" s="3"/>
      <c r="I14" s="9"/>
      <c r="J14" s="3"/>
      <c r="K14" s="3"/>
      <c r="L14" s="23"/>
      <c r="M14" s="9">
        <v>0.5</v>
      </c>
      <c r="N14" s="9"/>
      <c r="O14" s="9"/>
      <c r="P14" s="9"/>
      <c r="Q14" s="9"/>
      <c r="R14" s="9"/>
      <c r="S14" s="9"/>
      <c r="T14" s="9"/>
      <c r="U14" s="9"/>
      <c r="V14" s="9"/>
      <c r="W14" s="23">
        <v>4</v>
      </c>
      <c r="X14" s="23">
        <v>6</v>
      </c>
      <c r="Y14" s="3"/>
      <c r="Z14" s="23"/>
      <c r="AA14" s="8"/>
      <c r="AB14" s="8"/>
      <c r="AC14" s="8"/>
      <c r="AD14" s="8"/>
      <c r="AE14" s="23"/>
      <c r="AF14" s="8"/>
      <c r="AG14" s="23">
        <v>-73.045293000000001</v>
      </c>
      <c r="AH14" s="23">
        <v>6.8390890000000004</v>
      </c>
      <c r="AI14" s="13"/>
      <c r="AJ14" s="13">
        <f t="shared" si="2"/>
        <v>6.2018518518518521E-2</v>
      </c>
      <c r="AK14" s="14">
        <f>AJ14/$AI$10</f>
        <v>1.4865788671411471E-2</v>
      </c>
      <c r="AM14" s="41"/>
    </row>
    <row r="15" spans="1:47" ht="44.45" customHeight="1" x14ac:dyDescent="0.25">
      <c r="C15" s="25"/>
      <c r="D15" s="23" t="s">
        <v>45</v>
      </c>
      <c r="E15" s="23" t="s">
        <v>63</v>
      </c>
      <c r="F15" s="23">
        <v>1.7</v>
      </c>
      <c r="G15" s="25"/>
      <c r="H15" s="25"/>
      <c r="I15" s="25"/>
      <c r="J15" s="25"/>
      <c r="K15" s="25"/>
      <c r="L15" s="23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3">
        <v>2</v>
      </c>
      <c r="X15" s="23">
        <v>1</v>
      </c>
      <c r="Y15" s="25"/>
      <c r="Z15" s="23"/>
      <c r="AA15" s="25"/>
      <c r="AB15" s="25"/>
      <c r="AC15" s="25"/>
      <c r="AD15" s="25"/>
      <c r="AE15" s="25"/>
      <c r="AF15" s="25"/>
      <c r="AG15" s="23">
        <v>-73.044883999999996</v>
      </c>
      <c r="AH15" s="23">
        <v>6.8416800000000002</v>
      </c>
      <c r="AI15" s="13"/>
      <c r="AJ15" s="13">
        <f t="shared" si="2"/>
        <v>4.0092592592592593E-3</v>
      </c>
      <c r="AK15" s="14">
        <f t="shared" si="3"/>
        <v>9.6101619807721216E-4</v>
      </c>
    </row>
    <row r="16" spans="1:47" ht="44.45" customHeight="1" x14ac:dyDescent="0.25">
      <c r="C16" s="25"/>
      <c r="D16" s="23" t="s">
        <v>50</v>
      </c>
      <c r="E16" s="23" t="s">
        <v>68</v>
      </c>
      <c r="F16" s="23">
        <v>3.5</v>
      </c>
      <c r="G16" s="25"/>
      <c r="H16" s="25"/>
      <c r="I16" s="25"/>
      <c r="J16" s="25"/>
      <c r="K16" s="25"/>
      <c r="L16" s="23">
        <v>1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3">
        <v>4</v>
      </c>
      <c r="X16" s="23">
        <v>3</v>
      </c>
      <c r="Y16" s="25"/>
      <c r="Z16" s="23">
        <v>3</v>
      </c>
      <c r="AA16" s="25"/>
      <c r="AB16" s="25"/>
      <c r="AC16" s="25"/>
      <c r="AD16" s="25"/>
      <c r="AE16" s="25"/>
      <c r="AF16" s="25"/>
      <c r="AG16" s="23">
        <v>-73.041934999999995</v>
      </c>
      <c r="AH16" s="23">
        <v>6.8364060000000002</v>
      </c>
      <c r="AI16" s="13"/>
      <c r="AJ16" s="13">
        <f t="shared" si="2"/>
        <v>0.11081851851851852</v>
      </c>
      <c r="AK16" s="14">
        <f t="shared" si="3"/>
        <v>2.6563109157199321E-2</v>
      </c>
    </row>
    <row r="17" spans="3:47" ht="44.45" customHeight="1" x14ac:dyDescent="0.25">
      <c r="D17" s="20"/>
      <c r="E17" s="20"/>
      <c r="F17" s="20"/>
      <c r="L17" s="20"/>
      <c r="W17" s="20"/>
      <c r="X17" s="20"/>
      <c r="Z17" s="20"/>
      <c r="AG17" s="20"/>
      <c r="AH17" s="20"/>
      <c r="AI17" s="49" t="s">
        <v>323</v>
      </c>
      <c r="AJ17" s="49">
        <f>SUM(AJ12:AJ16)</f>
        <v>1.0744064814814813</v>
      </c>
      <c r="AK17" s="51">
        <f>SUM(AK12:AK16)</f>
        <v>0.2575343636454217</v>
      </c>
    </row>
    <row r="18" spans="3:47" ht="44.25" customHeight="1" x14ac:dyDescent="0.25">
      <c r="AI18" s="35">
        <v>3.0829549961456517</v>
      </c>
    </row>
    <row r="19" spans="3:47" ht="44.45" customHeight="1" x14ac:dyDescent="0.25">
      <c r="C19" s="140" t="s">
        <v>147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7"/>
      <c r="AH19" s="17"/>
      <c r="AI19" s="7"/>
      <c r="AJ19" s="8"/>
      <c r="AK19" s="4"/>
    </row>
    <row r="20" spans="3:47" ht="44.45" customHeight="1" x14ac:dyDescent="0.25">
      <c r="C20" s="3">
        <v>1</v>
      </c>
      <c r="D20" s="23" t="s">
        <v>38</v>
      </c>
      <c r="E20" s="23" t="s">
        <v>56</v>
      </c>
      <c r="F20" s="23">
        <v>4</v>
      </c>
      <c r="G20" s="10"/>
      <c r="H20" s="3"/>
      <c r="I20" s="9"/>
      <c r="J20" s="9"/>
      <c r="K20" s="3"/>
      <c r="L20" s="23"/>
      <c r="M20" s="9"/>
      <c r="N20" s="9"/>
      <c r="O20" s="9"/>
      <c r="P20" s="9">
        <v>0.5</v>
      </c>
      <c r="Q20" s="9"/>
      <c r="R20" s="9"/>
      <c r="S20" s="9"/>
      <c r="T20" s="9"/>
      <c r="U20" s="9"/>
      <c r="V20" s="3"/>
      <c r="W20" s="23">
        <v>1</v>
      </c>
      <c r="X20" s="23">
        <v>5</v>
      </c>
      <c r="Y20" s="28"/>
      <c r="Z20" s="23"/>
      <c r="AA20" s="8"/>
      <c r="AB20" s="23"/>
      <c r="AC20" s="23"/>
      <c r="AD20" s="23"/>
      <c r="AE20" s="8"/>
      <c r="AF20" s="8"/>
      <c r="AG20" s="23">
        <v>-73.041647999999995</v>
      </c>
      <c r="AH20" s="23">
        <v>6.8381559999999997</v>
      </c>
      <c r="AI20" s="13"/>
      <c r="AJ20" s="13">
        <f t="shared" ref="AJ20:AJ21" si="4">($H20*0.0001)+(0.1*$I20)+($J20*0.1)+($K20*0.1)+($L20*0.1)+($M20*0.1)+($N20*0.1)+($O20*0.1)+($P20*0.1)+($V20*0.1)+($W20*(130/(3600*24)))+($X20*0.001)+($Z20*0.0006)+($AA20*0.002)+($AB20*0.0002)+($AE20*0.000004)+($AF20*0.0004)+($Q20*0.1)+($R20*0.1)+($S20*0.1)+($T20*0.1)+($U20*0.1)+($AC20*3.47222222222222E-09)+($AD20*1.15740740740741E-09)</f>
        <v>5.6504629629629627E-2</v>
      </c>
      <c r="AK20" s="14">
        <f>AJ20/$AI$18</f>
        <v>1.8328074753044533E-2</v>
      </c>
    </row>
    <row r="21" spans="3:47" ht="44.45" customHeight="1" x14ac:dyDescent="0.25">
      <c r="C21" s="3">
        <v>2</v>
      </c>
      <c r="D21" s="23" t="s">
        <v>41</v>
      </c>
      <c r="E21" s="23" t="s">
        <v>60</v>
      </c>
      <c r="F21" s="23">
        <v>7</v>
      </c>
      <c r="G21" s="3"/>
      <c r="H21" s="3"/>
      <c r="I21" s="9"/>
      <c r="J21" s="3">
        <v>2</v>
      </c>
      <c r="K21" s="3"/>
      <c r="L21" s="23"/>
      <c r="M21" s="3">
        <v>1</v>
      </c>
      <c r="N21" s="9"/>
      <c r="O21" s="9"/>
      <c r="P21" s="9"/>
      <c r="Q21" s="9"/>
      <c r="R21" s="9"/>
      <c r="S21" s="9"/>
      <c r="T21" s="9"/>
      <c r="U21" s="9"/>
      <c r="V21" s="3"/>
      <c r="W21" s="23">
        <v>6</v>
      </c>
      <c r="X21" s="23">
        <v>12</v>
      </c>
      <c r="Y21" s="3"/>
      <c r="Z21" s="23">
        <v>15</v>
      </c>
      <c r="AA21" s="8"/>
      <c r="AB21" s="8">
        <v>10</v>
      </c>
      <c r="AC21" s="8"/>
      <c r="AD21" s="8"/>
      <c r="AE21" s="8"/>
      <c r="AF21" s="8"/>
      <c r="AG21" s="23">
        <v>-73.042759000000004</v>
      </c>
      <c r="AH21" s="23">
        <v>6.8394940000000002</v>
      </c>
      <c r="AI21" s="13"/>
      <c r="AJ21" s="13">
        <f t="shared" si="4"/>
        <v>0.33202777777777787</v>
      </c>
      <c r="AK21" s="14">
        <f>AJ21/$AI$18</f>
        <v>0.107697899642675</v>
      </c>
      <c r="AN21" s="33"/>
    </row>
    <row r="22" spans="3:47" ht="44.45" customHeight="1" x14ac:dyDescent="0.25">
      <c r="C22" s="46"/>
      <c r="D22" s="20"/>
      <c r="E22" s="20"/>
      <c r="F22" s="20"/>
      <c r="G22" s="46"/>
      <c r="H22" s="46"/>
      <c r="I22" s="47"/>
      <c r="J22" s="46"/>
      <c r="K22" s="46"/>
      <c r="L22" s="20"/>
      <c r="M22" s="46"/>
      <c r="N22" s="47"/>
      <c r="O22" s="47"/>
      <c r="P22" s="47"/>
      <c r="Q22" s="47"/>
      <c r="R22" s="47"/>
      <c r="S22" s="47"/>
      <c r="T22" s="47"/>
      <c r="U22" s="47"/>
      <c r="V22" s="46"/>
      <c r="W22" s="20"/>
      <c r="X22" s="20"/>
      <c r="Y22" s="46"/>
      <c r="Z22" s="20"/>
      <c r="AA22" s="48"/>
      <c r="AB22" s="48"/>
      <c r="AC22" s="48"/>
      <c r="AD22" s="48"/>
      <c r="AE22" s="48"/>
      <c r="AF22" s="48"/>
      <c r="AG22" s="20"/>
      <c r="AH22" s="20"/>
      <c r="AI22" s="49" t="s">
        <v>323</v>
      </c>
      <c r="AJ22" s="49">
        <f>SUM(AJ20:AJ21)</f>
        <v>0.38853240740740747</v>
      </c>
      <c r="AK22" s="51">
        <f>SUM(AK20:AK21)</f>
        <v>0.12602597439571953</v>
      </c>
      <c r="AN22" s="33"/>
    </row>
    <row r="23" spans="3:47" ht="44.45" customHeight="1" x14ac:dyDescent="0.25">
      <c r="AI23" s="35">
        <v>2.6668807661612677</v>
      </c>
      <c r="AU23" s="21"/>
    </row>
    <row r="24" spans="3:47" ht="44.45" customHeight="1" x14ac:dyDescent="0.25">
      <c r="C24" s="140" t="s">
        <v>146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7"/>
      <c r="AH24" s="17"/>
      <c r="AI24" s="7"/>
      <c r="AJ24" s="8"/>
      <c r="AK24" s="4"/>
    </row>
    <row r="25" spans="3:47" ht="44.45" customHeight="1" x14ac:dyDescent="0.25">
      <c r="C25" s="3">
        <v>1</v>
      </c>
      <c r="D25" s="23" t="s">
        <v>36</v>
      </c>
      <c r="E25" s="23" t="s">
        <v>54</v>
      </c>
      <c r="F25" s="23">
        <v>0.25</v>
      </c>
      <c r="G25" s="10"/>
      <c r="H25" s="3"/>
      <c r="I25" s="9"/>
      <c r="J25" s="9"/>
      <c r="K25" s="3"/>
      <c r="L25" s="23"/>
      <c r="M25" s="9"/>
      <c r="N25" s="9"/>
      <c r="O25" s="9"/>
      <c r="P25" s="9"/>
      <c r="Q25" s="9"/>
      <c r="R25" s="9"/>
      <c r="S25" s="9"/>
      <c r="T25" s="9"/>
      <c r="U25" s="9"/>
      <c r="V25" s="3"/>
      <c r="W25" s="23">
        <v>3</v>
      </c>
      <c r="X25" s="23">
        <v>3</v>
      </c>
      <c r="Y25" s="28"/>
      <c r="Z25" s="23"/>
      <c r="AA25" s="8"/>
      <c r="AB25" s="23"/>
      <c r="AC25" s="23"/>
      <c r="AD25" s="23"/>
      <c r="AE25" s="8"/>
      <c r="AF25" s="8"/>
      <c r="AG25" s="23">
        <v>-73.041421999999997</v>
      </c>
      <c r="AH25" s="23">
        <v>6.8357089999999996</v>
      </c>
      <c r="AI25" s="13"/>
      <c r="AJ25" s="13">
        <f t="shared" ref="AJ25:AJ29" si="5">($H25*0.0001)+(0.1*$I25)+($J25*0.1)+($K25*0.1)+($L25*0.1)+($M25*0.1)+($N25*0.1)+($O25*0.1)+($P25*0.1)+($V25*0.1)+($W25*(130/(3600*24)))+($X25*0.001)+($Z25*0.0006)+($AA25*0.002)+($AB25*0.0002)+($AE25*0.000004)+($AF25*0.0004)+($Q25*0.1)+($R25*0.1)+($S25*0.1)+($T25*0.1)+($U25*0.1)+($AC25*3.47222222222222E-09)+($AD25*1.15740740740741E-09)</f>
        <v>7.5138888888888885E-3</v>
      </c>
      <c r="AK25" s="14">
        <f>AJ25/$AI$23</f>
        <v>2.8174821252711828E-3</v>
      </c>
      <c r="AU25" s="21"/>
    </row>
    <row r="26" spans="3:47" ht="44.45" customHeight="1" x14ac:dyDescent="0.25">
      <c r="C26" s="3">
        <v>2</v>
      </c>
      <c r="D26" s="23" t="s">
        <v>37</v>
      </c>
      <c r="E26" s="23" t="s">
        <v>55</v>
      </c>
      <c r="F26" s="23">
        <v>0.56000000000000005</v>
      </c>
      <c r="G26" s="3"/>
      <c r="H26" s="3"/>
      <c r="I26" s="9"/>
      <c r="J26" s="3"/>
      <c r="K26" s="3"/>
      <c r="L26" s="23">
        <v>0.25</v>
      </c>
      <c r="M26" s="3"/>
      <c r="N26" s="9"/>
      <c r="O26" s="9"/>
      <c r="P26" s="9"/>
      <c r="Q26" s="9"/>
      <c r="R26" s="9"/>
      <c r="S26" s="9"/>
      <c r="T26" s="9"/>
      <c r="U26" s="9"/>
      <c r="V26" s="3"/>
      <c r="W26" s="23">
        <v>6</v>
      </c>
      <c r="X26" s="23">
        <v>3</v>
      </c>
      <c r="Y26" s="3"/>
      <c r="Z26" s="23"/>
      <c r="AA26" s="8"/>
      <c r="AB26" s="8"/>
      <c r="AC26" s="8"/>
      <c r="AD26" s="8"/>
      <c r="AE26" s="8"/>
      <c r="AF26" s="8"/>
      <c r="AG26" s="23">
        <v>-73.041437999999999</v>
      </c>
      <c r="AH26" s="23">
        <v>6.8357080000000003</v>
      </c>
      <c r="AI26" s="13"/>
      <c r="AJ26" s="13">
        <f t="shared" si="5"/>
        <v>3.7027777777777784E-2</v>
      </c>
      <c r="AK26" s="14">
        <f t="shared" ref="AK26:AK28" si="6">AJ26/$AI$23</f>
        <v>1.3884301933406607E-2</v>
      </c>
    </row>
    <row r="27" spans="3:47" ht="44.45" customHeight="1" x14ac:dyDescent="0.25">
      <c r="C27" s="3">
        <v>3</v>
      </c>
      <c r="D27" s="23" t="s">
        <v>39</v>
      </c>
      <c r="E27" s="23" t="s">
        <v>57</v>
      </c>
      <c r="F27" s="23">
        <v>2.2000000000000002</v>
      </c>
      <c r="G27" s="3"/>
      <c r="H27" s="3"/>
      <c r="I27" s="9"/>
      <c r="J27" s="3"/>
      <c r="K27" s="3"/>
      <c r="L27" s="23">
        <v>1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23">
        <v>2</v>
      </c>
      <c r="X27" s="23">
        <v>3</v>
      </c>
      <c r="Y27" s="3"/>
      <c r="Z27" s="23"/>
      <c r="AA27" s="8"/>
      <c r="AB27" s="8"/>
      <c r="AC27" s="8"/>
      <c r="AD27" s="8"/>
      <c r="AE27" s="23">
        <v>25</v>
      </c>
      <c r="AF27" s="8"/>
      <c r="AG27" s="23">
        <v>-73.048626999999996</v>
      </c>
      <c r="AH27" s="23">
        <v>6.8365840000000002</v>
      </c>
      <c r="AI27" s="13"/>
      <c r="AJ27" s="13">
        <f t="shared" si="5"/>
        <v>0.10610925925925926</v>
      </c>
      <c r="AK27" s="14">
        <f t="shared" si="6"/>
        <v>3.9787777768555396E-2</v>
      </c>
    </row>
    <row r="28" spans="3:47" ht="44.45" customHeight="1" x14ac:dyDescent="0.25">
      <c r="C28" s="25"/>
      <c r="D28" s="23" t="s">
        <v>40</v>
      </c>
      <c r="E28" s="23" t="s">
        <v>58</v>
      </c>
      <c r="F28" s="23">
        <v>0.25</v>
      </c>
      <c r="G28" s="25"/>
      <c r="H28" s="25"/>
      <c r="I28" s="25"/>
      <c r="J28" s="25"/>
      <c r="K28" s="25"/>
      <c r="L28" s="23">
        <v>0.2</v>
      </c>
      <c r="M28" s="25"/>
      <c r="N28" s="25"/>
      <c r="O28" s="23">
        <v>0.2</v>
      </c>
      <c r="P28" s="25"/>
      <c r="Q28" s="25"/>
      <c r="R28" s="25"/>
      <c r="S28" s="25"/>
      <c r="T28" s="25"/>
      <c r="U28" s="25"/>
      <c r="V28" s="25"/>
      <c r="W28" s="23">
        <v>3</v>
      </c>
      <c r="X28" s="23">
        <v>2</v>
      </c>
      <c r="Y28" s="25"/>
      <c r="Z28" s="23">
        <v>3</v>
      </c>
      <c r="AA28" s="25"/>
      <c r="AB28" s="25"/>
      <c r="AC28" s="25"/>
      <c r="AD28" s="25"/>
      <c r="AE28" s="25">
        <v>10</v>
      </c>
      <c r="AF28" s="25"/>
      <c r="AG28" s="23">
        <v>-73.046622999999997</v>
      </c>
      <c r="AH28" s="23">
        <v>6.8369090000000003</v>
      </c>
      <c r="AI28" s="13"/>
      <c r="AJ28" s="13">
        <f t="shared" si="5"/>
        <v>4.8353888888888898E-2</v>
      </c>
      <c r="AK28" s="14">
        <f t="shared" si="6"/>
        <v>1.8131252623824621E-2</v>
      </c>
    </row>
    <row r="29" spans="3:47" ht="44.45" customHeight="1" x14ac:dyDescent="0.25">
      <c r="C29" s="25"/>
      <c r="D29" s="23" t="s">
        <v>40</v>
      </c>
      <c r="E29" s="23" t="s">
        <v>59</v>
      </c>
      <c r="F29" s="23">
        <v>40</v>
      </c>
      <c r="G29" s="25"/>
      <c r="H29" s="25"/>
      <c r="I29" s="25"/>
      <c r="J29" s="25"/>
      <c r="K29" s="25"/>
      <c r="L29" s="23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3">
        <v>3</v>
      </c>
      <c r="X29" s="23"/>
      <c r="Y29" s="25"/>
      <c r="Z29" s="23"/>
      <c r="AA29" s="25"/>
      <c r="AB29" s="25"/>
      <c r="AC29" s="25"/>
      <c r="AD29" s="25"/>
      <c r="AE29" s="25"/>
      <c r="AF29" s="25"/>
      <c r="AG29" s="23">
        <v>-73.046329999999998</v>
      </c>
      <c r="AH29" s="23">
        <v>6.8364649999999996</v>
      </c>
      <c r="AI29" s="13"/>
      <c r="AJ29" s="13">
        <f t="shared" si="5"/>
        <v>4.5138888888888885E-3</v>
      </c>
      <c r="AK29" s="14">
        <f>AJ29/$AI$23</f>
        <v>1.6925724412442408E-3</v>
      </c>
    </row>
    <row r="30" spans="3:47" ht="44.45" customHeight="1" x14ac:dyDescent="0.25">
      <c r="D30" s="20"/>
      <c r="E30" s="20"/>
      <c r="F30" s="20"/>
      <c r="L30" s="20"/>
      <c r="W30" s="20"/>
      <c r="X30" s="20"/>
      <c r="Z30" s="20"/>
      <c r="AG30" s="20"/>
      <c r="AH30" s="20"/>
      <c r="AI30" s="49" t="s">
        <v>323</v>
      </c>
      <c r="AJ30" s="49">
        <f>SUM(AJ25:AJ29)</f>
        <v>0.20351870370370373</v>
      </c>
      <c r="AK30" s="51">
        <f>SUM(AK25:AK29)</f>
        <v>7.6313386892302049E-2</v>
      </c>
    </row>
    <row r="31" spans="3:47" ht="44.45" customHeight="1" x14ac:dyDescent="0.25">
      <c r="AI31" s="35">
        <v>3.3100237930022605</v>
      </c>
    </row>
    <row r="32" spans="3:47" ht="44.45" customHeight="1" x14ac:dyDescent="0.25">
      <c r="C32" s="140" t="s">
        <v>148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7"/>
      <c r="AH32" s="17"/>
      <c r="AI32" s="7"/>
      <c r="AJ32" s="8"/>
      <c r="AK32" s="4"/>
    </row>
    <row r="33" spans="3:37" ht="44.45" customHeight="1" x14ac:dyDescent="0.25">
      <c r="C33" s="3">
        <v>1</v>
      </c>
      <c r="D33" s="23" t="s">
        <v>35</v>
      </c>
      <c r="E33" s="23" t="s">
        <v>52</v>
      </c>
      <c r="F33" s="23">
        <v>5.7</v>
      </c>
      <c r="G33" s="10"/>
      <c r="H33" s="3"/>
      <c r="I33" s="9"/>
      <c r="J33" s="9"/>
      <c r="K33" s="3"/>
      <c r="L33" s="23"/>
      <c r="M33" s="9"/>
      <c r="N33" s="9"/>
      <c r="O33" s="9"/>
      <c r="P33" s="9">
        <v>3</v>
      </c>
      <c r="Q33" s="9"/>
      <c r="R33" s="9"/>
      <c r="S33" s="9"/>
      <c r="T33" s="9"/>
      <c r="U33" s="9"/>
      <c r="V33" s="3"/>
      <c r="W33" s="24">
        <v>3</v>
      </c>
      <c r="X33" s="24">
        <v>5</v>
      </c>
      <c r="Y33" s="28"/>
      <c r="Z33" s="23">
        <v>10</v>
      </c>
      <c r="AA33" s="8"/>
      <c r="AB33" s="23"/>
      <c r="AC33" s="23"/>
      <c r="AD33" s="23"/>
      <c r="AE33" s="8"/>
      <c r="AF33" s="8">
        <v>400</v>
      </c>
      <c r="AG33" s="23">
        <v>-73.050726999999995</v>
      </c>
      <c r="AH33" s="23">
        <v>6.8446579999999999</v>
      </c>
      <c r="AI33" s="13"/>
      <c r="AJ33" s="13">
        <f t="shared" ref="AJ33:AJ34" si="7">($H33*0.0001)+(0.1*$I33)+($J33*0.1)+($K33*0.1)+($L33*0.1)+($M33*0.1)+($N33*0.1)+($O33*0.1)+($P33*0.1)+($V33*0.1)+($W33*(130/(3600*24)))+($X33*0.001)+($Z33*0.0006)+($AA33*0.002)+($AB33*0.0002)+($AE33*0.000004)+($AF33*0.0004)+($Q33*0.1)+($R33*0.1)+($S33*0.1)+($T33*0.1)+($U33*0.1)+($AC33*3.47222222222222E-09)+($AD33*1.15740740740741E-09)</f>
        <v>0.4755138888888889</v>
      </c>
      <c r="AK33" s="14">
        <f>AJ33/$AI$31</f>
        <v>0.14365875251234611</v>
      </c>
    </row>
    <row r="34" spans="3:37" ht="44.45" customHeight="1" x14ac:dyDescent="0.25">
      <c r="C34" s="3">
        <v>2</v>
      </c>
      <c r="D34" s="23" t="s">
        <v>51</v>
      </c>
      <c r="E34" s="23"/>
      <c r="F34" s="25"/>
      <c r="G34" s="3"/>
      <c r="H34" s="3"/>
      <c r="I34" s="9"/>
      <c r="J34" s="3"/>
      <c r="K34" s="3"/>
      <c r="L34" s="23"/>
      <c r="M34" s="3"/>
      <c r="N34" s="9"/>
      <c r="O34" s="9"/>
      <c r="P34" s="9"/>
      <c r="Q34" s="9"/>
      <c r="R34" s="9"/>
      <c r="S34" s="9"/>
      <c r="T34" s="9"/>
      <c r="U34" s="9"/>
      <c r="V34" s="3"/>
      <c r="W34" s="24">
        <v>5</v>
      </c>
      <c r="X34" s="24">
        <v>4</v>
      </c>
      <c r="Y34" s="3"/>
      <c r="Z34" s="23"/>
      <c r="AA34" s="8"/>
      <c r="AB34" s="8"/>
      <c r="AC34" s="8"/>
      <c r="AD34" s="8"/>
      <c r="AE34" s="8"/>
      <c r="AF34" s="8"/>
      <c r="AG34" s="23">
        <v>-73.050684000000004</v>
      </c>
      <c r="AH34" s="23">
        <v>6.8454639999999998</v>
      </c>
      <c r="AI34" s="13"/>
      <c r="AJ34" s="13">
        <f t="shared" si="7"/>
        <v>1.1523148148148149E-2</v>
      </c>
      <c r="AK34" s="14">
        <f>AJ34/$AI$31</f>
        <v>3.481288615661706E-3</v>
      </c>
    </row>
    <row r="35" spans="3:37" ht="44.45" customHeight="1" x14ac:dyDescent="0.25">
      <c r="C35" s="46"/>
      <c r="D35" s="20"/>
      <c r="E35" s="20"/>
      <c r="G35" s="46"/>
      <c r="H35" s="46"/>
      <c r="I35" s="47"/>
      <c r="J35" s="46"/>
      <c r="K35" s="46"/>
      <c r="L35" s="20"/>
      <c r="M35" s="46"/>
      <c r="N35" s="47"/>
      <c r="O35" s="47"/>
      <c r="P35" s="47"/>
      <c r="Q35" s="47"/>
      <c r="R35" s="47"/>
      <c r="S35" s="47"/>
      <c r="T35" s="47"/>
      <c r="U35" s="47"/>
      <c r="V35" s="46"/>
      <c r="W35" s="53"/>
      <c r="X35" s="53"/>
      <c r="Y35" s="46"/>
      <c r="Z35" s="20"/>
      <c r="AA35" s="48"/>
      <c r="AB35" s="48"/>
      <c r="AC35" s="48"/>
      <c r="AD35" s="48"/>
      <c r="AE35" s="48"/>
      <c r="AF35" s="48"/>
      <c r="AG35" s="20"/>
      <c r="AH35" s="20"/>
      <c r="AI35" s="49" t="s">
        <v>323</v>
      </c>
      <c r="AJ35" s="58">
        <f>SUM(AJ33:AJ34)</f>
        <v>0.48703703703703705</v>
      </c>
      <c r="AK35" s="59">
        <f>SUM(AK33:AK34)</f>
        <v>0.14714004112800783</v>
      </c>
    </row>
    <row r="36" spans="3:37" ht="44.45" customHeight="1" x14ac:dyDescent="0.25">
      <c r="AI36" s="36">
        <v>2.6349681007838925</v>
      </c>
    </row>
    <row r="37" spans="3:37" ht="44.45" customHeight="1" x14ac:dyDescent="0.25">
      <c r="C37" s="140" t="s">
        <v>149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7"/>
      <c r="AH37" s="17"/>
      <c r="AI37" s="7"/>
      <c r="AJ37" s="8"/>
      <c r="AK37" s="4"/>
    </row>
    <row r="38" spans="3:37" ht="44.45" customHeight="1" x14ac:dyDescent="0.25">
      <c r="C38" s="3">
        <v>1</v>
      </c>
      <c r="D38" s="23" t="s">
        <v>46</v>
      </c>
      <c r="E38" s="23" t="s">
        <v>64</v>
      </c>
      <c r="F38" s="23">
        <v>19</v>
      </c>
      <c r="G38" s="10"/>
      <c r="H38" s="9">
        <v>0.5</v>
      </c>
      <c r="I38" s="9"/>
      <c r="J38" s="9">
        <v>2</v>
      </c>
      <c r="K38" s="3"/>
      <c r="L38" s="23">
        <v>5</v>
      </c>
      <c r="M38" s="9">
        <v>1</v>
      </c>
      <c r="N38" s="9"/>
      <c r="O38" s="9"/>
      <c r="P38" s="9"/>
      <c r="Q38" s="9">
        <v>1</v>
      </c>
      <c r="R38" s="9"/>
      <c r="S38" s="9"/>
      <c r="T38" s="9"/>
      <c r="U38" s="9"/>
      <c r="V38" s="3"/>
      <c r="W38" s="23">
        <v>8</v>
      </c>
      <c r="X38" s="23">
        <v>6</v>
      </c>
      <c r="Y38" s="28"/>
      <c r="Z38" s="23">
        <v>34</v>
      </c>
      <c r="AA38" s="8"/>
      <c r="AB38" s="23"/>
      <c r="AC38" s="23"/>
      <c r="AD38" s="23"/>
      <c r="AE38" s="8">
        <v>10</v>
      </c>
      <c r="AF38" s="8"/>
      <c r="AG38" s="23">
        <v>-73.044404999999998</v>
      </c>
      <c r="AH38" s="23">
        <v>6.8430910000000003</v>
      </c>
      <c r="AI38" s="13"/>
      <c r="AJ38" s="13">
        <f t="shared" ref="AJ38:AJ39" si="8">($H38*0.0001)+(0.1*$I38)+($J38*0.1)+($K38*0.1)+($L38*0.1)+($M38*0.1)+($N38*0.1)+($O38*0.1)+($P38*0.1)+($V38*0.1)+($W38*(130/(3600*24)))+($X38*0.001)+($Z38*0.0006)+($AA38*0.002)+($AB38*0.0002)+($AE38*0.000004)+($AF38*0.0004)+($Q38*0.1)+($R38*0.1)+($S38*0.1)+($T38*0.1)+($U38*0.1)+($AC38*3.47222222222222E-09)+($AD38*1.15740740740741E-09)</f>
        <v>0.9385270370370371</v>
      </c>
      <c r="AK38" s="14">
        <f>AJ38/$AI$36</f>
        <v>0.35618155557853964</v>
      </c>
    </row>
    <row r="39" spans="3:37" ht="44.45" customHeight="1" x14ac:dyDescent="0.25">
      <c r="C39" s="3">
        <v>2</v>
      </c>
      <c r="D39" s="23" t="s">
        <v>47</v>
      </c>
      <c r="E39" s="23" t="s">
        <v>65</v>
      </c>
      <c r="F39" s="23">
        <v>19</v>
      </c>
      <c r="G39" s="3"/>
      <c r="H39" s="9">
        <v>0.5</v>
      </c>
      <c r="I39" s="9"/>
      <c r="J39" s="3">
        <v>2</v>
      </c>
      <c r="K39" s="3"/>
      <c r="L39" s="23">
        <v>5</v>
      </c>
      <c r="M39" s="3">
        <v>1</v>
      </c>
      <c r="N39" s="9"/>
      <c r="O39" s="9"/>
      <c r="P39" s="9"/>
      <c r="Q39" s="9">
        <v>1</v>
      </c>
      <c r="R39" s="9"/>
      <c r="S39" s="9"/>
      <c r="T39" s="9"/>
      <c r="U39" s="9"/>
      <c r="V39" s="3"/>
      <c r="W39" s="23">
        <v>8</v>
      </c>
      <c r="X39" s="23">
        <v>6</v>
      </c>
      <c r="Y39" s="3"/>
      <c r="Z39" s="23">
        <v>34</v>
      </c>
      <c r="AA39" s="8"/>
      <c r="AB39" s="8"/>
      <c r="AC39" s="8"/>
      <c r="AD39" s="8"/>
      <c r="AE39" s="8">
        <v>10</v>
      </c>
      <c r="AF39" s="8"/>
      <c r="AG39" s="23">
        <v>-73.044282999999993</v>
      </c>
      <c r="AH39" s="23">
        <v>6.843083</v>
      </c>
      <c r="AI39" s="13"/>
      <c r="AJ39" s="13">
        <f t="shared" si="8"/>
        <v>0.9385270370370371</v>
      </c>
      <c r="AK39" s="14">
        <f>AJ39/$AI$36</f>
        <v>0.35618155557853964</v>
      </c>
    </row>
    <row r="40" spans="3:37" ht="44.45" customHeight="1" x14ac:dyDescent="0.25">
      <c r="AI40" s="49" t="s">
        <v>323</v>
      </c>
      <c r="AJ40" s="57">
        <f>SUM(AJ38:AJ39)</f>
        <v>1.8770540740740742</v>
      </c>
      <c r="AK40" s="14">
        <f>SUM(AK38:AK39)</f>
        <v>0.71236311115707929</v>
      </c>
    </row>
    <row r="41" spans="3:37" ht="44.45" customHeight="1" x14ac:dyDescent="0.25">
      <c r="C41" s="137" t="s">
        <v>75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8"/>
      <c r="AH41" s="138"/>
      <c r="AI41" s="36">
        <v>4.3514497798361775</v>
      </c>
      <c r="AJ41" s="5"/>
      <c r="AK41" s="6"/>
    </row>
    <row r="42" spans="3:37" ht="44.45" customHeight="1" x14ac:dyDescent="0.25">
      <c r="C42" s="143" t="s">
        <v>150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7"/>
      <c r="AH42" s="18"/>
      <c r="AI42" s="26"/>
      <c r="AJ42" s="8"/>
      <c r="AK42" s="4"/>
    </row>
    <row r="43" spans="3:37" ht="44.45" customHeight="1" x14ac:dyDescent="0.25">
      <c r="C43" s="112">
        <v>1</v>
      </c>
      <c r="D43" s="23" t="s">
        <v>104</v>
      </c>
      <c r="E43" s="20" t="s">
        <v>123</v>
      </c>
      <c r="F43" s="23">
        <v>1.8</v>
      </c>
      <c r="G43" s="15"/>
      <c r="H43" s="22"/>
      <c r="I43" s="22"/>
      <c r="J43" s="22"/>
      <c r="K43" s="1"/>
      <c r="L43" s="23">
        <v>1</v>
      </c>
      <c r="M43" s="22"/>
      <c r="N43" s="22"/>
      <c r="O43" s="22"/>
      <c r="P43" s="22"/>
      <c r="Q43" s="22"/>
      <c r="R43" s="22"/>
      <c r="S43" s="22"/>
      <c r="T43" s="22"/>
      <c r="U43" s="22"/>
      <c r="V43" s="1"/>
      <c r="W43" s="23">
        <v>2</v>
      </c>
      <c r="X43" s="23">
        <v>10</v>
      </c>
      <c r="Y43" s="30"/>
      <c r="Z43" s="23">
        <v>5</v>
      </c>
      <c r="AA43" s="8"/>
      <c r="AB43" s="23"/>
      <c r="AC43" s="23"/>
      <c r="AD43" s="23"/>
      <c r="AE43" s="8"/>
      <c r="AF43" s="8"/>
      <c r="AG43" s="23">
        <v>-73.048893000000007</v>
      </c>
      <c r="AH43" s="23">
        <v>6.8348420000000001</v>
      </c>
      <c r="AI43" s="13"/>
      <c r="AJ43" s="13">
        <f t="shared" ref="AJ43:AJ57" si="9">($H43*0.0001)+(0.1*$I43)+($J43*0.1)+($K43*0.1)+($L43*0.1)+($M43*0.1)+($N43*0.1)+($O43*0.1)+($P43*0.1)+($V43*0.1)+($W43*(130/(3600*24)))+($X43*0.001)+($Z43*0.0006)+($AA43*0.002)+($AB43*0.0002)+($AE43*0.000004)+($AF43*0.0004)+($Q43*0.1)+($R43*0.1)+($S43*0.1)+($T43*0.1)+($U43*0.1)+($AC43*3.47222222222222E-09)+($AD43*1.15740740740741E-09)</f>
        <v>0.11600925925925926</v>
      </c>
      <c r="AK43" s="14">
        <f>AJ43/$AI$41</f>
        <v>2.6659909944686699E-2</v>
      </c>
    </row>
    <row r="44" spans="3:37" ht="44.45" customHeight="1" x14ac:dyDescent="0.25">
      <c r="C44" s="112">
        <v>2</v>
      </c>
      <c r="D44" s="23" t="s">
        <v>109</v>
      </c>
      <c r="E44" s="20" t="s">
        <v>128</v>
      </c>
      <c r="F44" s="23">
        <v>1</v>
      </c>
      <c r="G44" s="1"/>
      <c r="H44" s="22"/>
      <c r="I44" s="22"/>
      <c r="J44" s="22">
        <v>0.8</v>
      </c>
      <c r="K44" s="1"/>
      <c r="L44" s="23"/>
      <c r="M44" s="1"/>
      <c r="N44" s="22"/>
      <c r="O44" s="22"/>
      <c r="P44" s="22"/>
      <c r="Q44" s="22"/>
      <c r="R44" s="22"/>
      <c r="S44" s="22"/>
      <c r="T44" s="22"/>
      <c r="U44" s="22"/>
      <c r="V44" s="1"/>
      <c r="W44" s="23">
        <v>1</v>
      </c>
      <c r="X44" s="23"/>
      <c r="Y44" s="1"/>
      <c r="Z44" s="23">
        <v>15</v>
      </c>
      <c r="AA44" s="8"/>
      <c r="AB44" s="8"/>
      <c r="AC44" s="8"/>
      <c r="AD44" s="8"/>
      <c r="AE44" s="23">
        <v>40</v>
      </c>
      <c r="AF44" s="8"/>
      <c r="AG44" s="23">
        <v>-73.049064000000001</v>
      </c>
      <c r="AH44" s="23">
        <v>6.834918</v>
      </c>
      <c r="AI44" s="13"/>
      <c r="AJ44" s="13">
        <f t="shared" si="9"/>
        <v>9.0664629629629637E-2</v>
      </c>
      <c r="AK44" s="14">
        <f t="shared" ref="AK44:AK57" si="10">AJ44/$AI$41</f>
        <v>2.0835499481058693E-2</v>
      </c>
    </row>
    <row r="45" spans="3:37" ht="44.45" customHeight="1" x14ac:dyDescent="0.25">
      <c r="D45" s="23" t="s">
        <v>109</v>
      </c>
      <c r="E45" s="20" t="s">
        <v>130</v>
      </c>
      <c r="F45" s="23">
        <v>2.8</v>
      </c>
      <c r="G45" s="23"/>
      <c r="H45" s="23"/>
      <c r="I45" s="23"/>
      <c r="J45" s="23">
        <v>2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>
        <v>5</v>
      </c>
      <c r="X45" s="23">
        <v>4</v>
      </c>
      <c r="Y45" s="23"/>
      <c r="Z45" s="23">
        <v>8</v>
      </c>
      <c r="AA45" s="23"/>
      <c r="AB45" s="23"/>
      <c r="AC45" s="23"/>
      <c r="AD45" s="23"/>
      <c r="AE45" s="23"/>
      <c r="AF45" s="23"/>
      <c r="AG45" s="23">
        <v>-73.049436</v>
      </c>
      <c r="AH45" s="23">
        <v>6.8346260000000001</v>
      </c>
      <c r="AI45" s="13"/>
      <c r="AJ45" s="13">
        <f t="shared" si="9"/>
        <v>0.21632314814814815</v>
      </c>
      <c r="AK45" s="14">
        <f t="shared" si="10"/>
        <v>4.9712890896856966E-2</v>
      </c>
    </row>
    <row r="46" spans="3:37" ht="44.45" customHeight="1" x14ac:dyDescent="0.25">
      <c r="D46" s="23" t="s">
        <v>112</v>
      </c>
      <c r="E46" s="20" t="s">
        <v>133</v>
      </c>
      <c r="F46" s="23">
        <v>0.25</v>
      </c>
      <c r="G46" s="23"/>
      <c r="H46" s="23"/>
      <c r="I46" s="23"/>
      <c r="J46" s="23"/>
      <c r="K46" s="23"/>
      <c r="L46" s="23">
        <v>0.05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>
        <v>2</v>
      </c>
      <c r="X46" s="23"/>
      <c r="Y46" s="23"/>
      <c r="Z46" s="23"/>
      <c r="AA46" s="23"/>
      <c r="AB46" s="23"/>
      <c r="AC46" s="23"/>
      <c r="AD46" s="23"/>
      <c r="AE46" s="23">
        <v>10</v>
      </c>
      <c r="AF46" s="23"/>
      <c r="AG46" s="23">
        <v>-73.047267000000005</v>
      </c>
      <c r="AH46" s="23">
        <v>6.8337019999999997</v>
      </c>
      <c r="AI46" s="13"/>
      <c r="AJ46" s="13">
        <f t="shared" si="9"/>
        <v>8.0492592592592612E-3</v>
      </c>
      <c r="AK46" s="14">
        <f t="shared" si="10"/>
        <v>1.8497879250630575E-3</v>
      </c>
    </row>
    <row r="47" spans="3:37" ht="44.45" customHeight="1" x14ac:dyDescent="0.25">
      <c r="C47" s="25"/>
      <c r="D47" s="23" t="s">
        <v>119</v>
      </c>
      <c r="E47" s="23" t="s">
        <v>140</v>
      </c>
      <c r="F47" s="23">
        <v>0.7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>
        <v>3</v>
      </c>
      <c r="X47" s="23">
        <v>2</v>
      </c>
      <c r="Y47" s="23"/>
      <c r="Z47" s="23"/>
      <c r="AA47" s="23"/>
      <c r="AB47" s="23"/>
      <c r="AC47" s="23"/>
      <c r="AD47" s="23"/>
      <c r="AE47" s="23"/>
      <c r="AF47" s="23"/>
      <c r="AG47" s="23">
        <v>-73.046037999999996</v>
      </c>
      <c r="AH47" s="23">
        <v>6.8339429999999997</v>
      </c>
      <c r="AI47" s="13"/>
      <c r="AJ47" s="13">
        <f t="shared" si="9"/>
        <v>6.5138888888888885E-3</v>
      </c>
      <c r="AK47" s="14">
        <f t="shared" si="10"/>
        <v>1.4969468150759912E-3</v>
      </c>
    </row>
    <row r="48" spans="3:37" ht="44.45" customHeight="1" x14ac:dyDescent="0.25">
      <c r="C48" s="25"/>
      <c r="D48" s="23" t="s">
        <v>113</v>
      </c>
      <c r="E48" s="23" t="s">
        <v>134</v>
      </c>
      <c r="F48" s="23">
        <v>3</v>
      </c>
      <c r="G48" s="23"/>
      <c r="H48" s="23"/>
      <c r="I48" s="23"/>
      <c r="J48" s="23"/>
      <c r="K48" s="23"/>
      <c r="L48" s="23"/>
      <c r="M48" s="23"/>
      <c r="N48" s="23"/>
      <c r="O48" s="23"/>
      <c r="P48" s="23">
        <v>2</v>
      </c>
      <c r="Q48" s="23"/>
      <c r="R48" s="23"/>
      <c r="S48" s="23"/>
      <c r="T48" s="23"/>
      <c r="U48" s="23"/>
      <c r="V48" s="23"/>
      <c r="W48" s="23">
        <v>5</v>
      </c>
      <c r="X48" s="23">
        <v>10</v>
      </c>
      <c r="Y48" s="23"/>
      <c r="Z48" s="23"/>
      <c r="AA48" s="23"/>
      <c r="AB48" s="23"/>
      <c r="AC48" s="23"/>
      <c r="AD48" s="23"/>
      <c r="AE48" s="23"/>
      <c r="AF48" s="23"/>
      <c r="AG48" s="23">
        <v>-73.0458</v>
      </c>
      <c r="AH48" s="23">
        <v>6.8321509999999996</v>
      </c>
      <c r="AI48" s="13"/>
      <c r="AJ48" s="13">
        <f t="shared" si="9"/>
        <v>0.21752314814814816</v>
      </c>
      <c r="AK48" s="14">
        <f t="shared" si="10"/>
        <v>4.9988661056393352E-2</v>
      </c>
    </row>
    <row r="49" spans="3:37" ht="44.45" customHeight="1" x14ac:dyDescent="0.25">
      <c r="C49" s="25"/>
      <c r="D49" s="23" t="s">
        <v>117</v>
      </c>
      <c r="E49" s="23" t="s">
        <v>138</v>
      </c>
      <c r="F49" s="23">
        <v>0.42670000000000002</v>
      </c>
      <c r="G49" s="23"/>
      <c r="H49" s="23"/>
      <c r="I49" s="23"/>
      <c r="J49" s="23"/>
      <c r="K49" s="23"/>
      <c r="L49" s="23"/>
      <c r="M49" s="23">
        <v>0.3</v>
      </c>
      <c r="N49" s="23"/>
      <c r="O49" s="23"/>
      <c r="P49" s="23"/>
      <c r="Q49" s="23"/>
      <c r="R49" s="23"/>
      <c r="S49" s="23"/>
      <c r="T49" s="23"/>
      <c r="U49" s="23"/>
      <c r="V49" s="23"/>
      <c r="W49" s="23">
        <v>2</v>
      </c>
      <c r="X49" s="23">
        <v>8</v>
      </c>
      <c r="Y49" s="23"/>
      <c r="Z49" s="23"/>
      <c r="AA49" s="23"/>
      <c r="AB49" s="23"/>
      <c r="AC49" s="23"/>
      <c r="AD49" s="23"/>
      <c r="AE49" s="23"/>
      <c r="AF49" s="23"/>
      <c r="AG49" s="23">
        <v>-73.047512999999995</v>
      </c>
      <c r="AH49" s="23">
        <v>6.8311760000000001</v>
      </c>
      <c r="AI49" s="13"/>
      <c r="AJ49" s="13">
        <f t="shared" si="9"/>
        <v>4.1009259259259259E-2</v>
      </c>
      <c r="AK49" s="14">
        <f t="shared" si="10"/>
        <v>9.4242749736624942E-3</v>
      </c>
    </row>
    <row r="50" spans="3:37" ht="44.45" customHeight="1" x14ac:dyDescent="0.25">
      <c r="C50" s="25"/>
      <c r="D50" s="23" t="s">
        <v>118</v>
      </c>
      <c r="E50" s="23" t="s">
        <v>139</v>
      </c>
      <c r="F50" s="23">
        <v>0.25</v>
      </c>
      <c r="G50" s="23"/>
      <c r="H50" s="23"/>
      <c r="I50" s="23"/>
      <c r="J50" s="23"/>
      <c r="K50" s="23"/>
      <c r="L50" s="23"/>
      <c r="M50" s="23">
        <v>0.2</v>
      </c>
      <c r="N50" s="23"/>
      <c r="O50" s="23"/>
      <c r="P50" s="23"/>
      <c r="Q50" s="23"/>
      <c r="R50" s="23"/>
      <c r="S50" s="23"/>
      <c r="T50" s="23"/>
      <c r="U50" s="23"/>
      <c r="V50" s="23"/>
      <c r="W50" s="23">
        <v>2</v>
      </c>
      <c r="X50" s="23">
        <v>10</v>
      </c>
      <c r="Y50" s="23"/>
      <c r="Z50" s="23"/>
      <c r="AA50" s="23"/>
      <c r="AB50" s="23"/>
      <c r="AC50" s="23"/>
      <c r="AD50" s="23"/>
      <c r="AE50" s="23"/>
      <c r="AF50" s="23"/>
      <c r="AG50" s="23">
        <v>-73.047048000000004</v>
      </c>
      <c r="AH50" s="23">
        <v>6.8312239999999997</v>
      </c>
      <c r="AI50" s="13"/>
      <c r="AJ50" s="13">
        <f t="shared" si="9"/>
        <v>3.3009259259259266E-2</v>
      </c>
      <c r="AK50" s="14">
        <f t="shared" si="10"/>
        <v>7.5858072434199144E-3</v>
      </c>
    </row>
    <row r="51" spans="3:37" ht="44.45" customHeight="1" x14ac:dyDescent="0.25">
      <c r="C51" s="25"/>
      <c r="D51" s="23" t="s">
        <v>120</v>
      </c>
      <c r="E51" s="23" t="s">
        <v>141</v>
      </c>
      <c r="F51" s="31">
        <v>0.25</v>
      </c>
      <c r="G51" s="31"/>
      <c r="H51" s="31"/>
      <c r="I51" s="31"/>
      <c r="J51" s="31"/>
      <c r="K51" s="31"/>
      <c r="L51" s="31"/>
      <c r="M51" s="31">
        <v>0.2</v>
      </c>
      <c r="N51" s="31"/>
      <c r="O51" s="31"/>
      <c r="P51" s="31"/>
      <c r="Q51" s="31"/>
      <c r="R51" s="31"/>
      <c r="S51" s="31"/>
      <c r="T51" s="31"/>
      <c r="U51" s="31"/>
      <c r="V51" s="31"/>
      <c r="W51" s="31">
        <v>3</v>
      </c>
      <c r="X51" s="31">
        <v>6</v>
      </c>
      <c r="Y51" s="31"/>
      <c r="Z51" s="31"/>
      <c r="AA51" s="31"/>
      <c r="AB51" s="31"/>
      <c r="AC51" s="31"/>
      <c r="AD51" s="31"/>
      <c r="AE51" s="31"/>
      <c r="AF51" s="31"/>
      <c r="AG51" s="31">
        <v>-73.047572000000002</v>
      </c>
      <c r="AH51" s="31">
        <v>6.831302</v>
      </c>
      <c r="AI51" s="32"/>
      <c r="AJ51" s="13">
        <f t="shared" si="9"/>
        <v>3.0513888888888889E-2</v>
      </c>
      <c r="AK51" s="14">
        <f t="shared" si="10"/>
        <v>7.0123500058037365E-3</v>
      </c>
    </row>
    <row r="52" spans="3:37" ht="44.45" customHeight="1" x14ac:dyDescent="0.25">
      <c r="C52" s="25"/>
      <c r="D52" s="23" t="s">
        <v>105</v>
      </c>
      <c r="E52" s="23" t="s">
        <v>124</v>
      </c>
      <c r="F52" s="23">
        <v>1.85</v>
      </c>
      <c r="G52" s="23"/>
      <c r="H52" s="23"/>
      <c r="I52" s="23"/>
      <c r="J52" s="23"/>
      <c r="K52" s="23"/>
      <c r="L52" s="23">
        <v>1</v>
      </c>
      <c r="M52" s="23"/>
      <c r="N52" s="23"/>
      <c r="O52" s="23">
        <v>0.8</v>
      </c>
      <c r="P52" s="23"/>
      <c r="Q52" s="23"/>
      <c r="R52" s="23"/>
      <c r="S52" s="23"/>
      <c r="T52" s="23"/>
      <c r="U52" s="23"/>
      <c r="V52" s="23"/>
      <c r="W52" s="23">
        <v>4</v>
      </c>
      <c r="X52" s="23">
        <v>3</v>
      </c>
      <c r="Y52" s="23"/>
      <c r="Z52" s="23"/>
      <c r="AA52" s="23"/>
      <c r="AB52" s="23"/>
      <c r="AC52" s="23"/>
      <c r="AD52" s="23"/>
      <c r="AE52" s="23"/>
      <c r="AF52" s="23"/>
      <c r="AG52" s="23">
        <v>-73.047179999999997</v>
      </c>
      <c r="AH52" s="23">
        <v>6.8360089999999998</v>
      </c>
      <c r="AI52" s="13"/>
      <c r="AJ52" s="13">
        <f t="shared" si="9"/>
        <v>0.18901851851851853</v>
      </c>
      <c r="AK52" s="14">
        <f t="shared" si="10"/>
        <v>4.3438055839319527E-2</v>
      </c>
    </row>
    <row r="53" spans="3:37" ht="44.45" customHeight="1" x14ac:dyDescent="0.25">
      <c r="C53" s="25"/>
      <c r="D53" s="23" t="s">
        <v>106</v>
      </c>
      <c r="E53" s="23" t="s">
        <v>125</v>
      </c>
      <c r="F53" s="23">
        <v>2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>
        <v>0.5</v>
      </c>
      <c r="T53" s="23">
        <v>0.4</v>
      </c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>
        <v>-73.051405000000003</v>
      </c>
      <c r="AH53" s="23">
        <v>6.8347040000000003</v>
      </c>
      <c r="AI53" s="13"/>
      <c r="AJ53" s="13">
        <f t="shared" si="9"/>
        <v>9.0000000000000011E-2</v>
      </c>
      <c r="AK53" s="14">
        <f t="shared" si="10"/>
        <v>2.068276196522905E-2</v>
      </c>
    </row>
    <row r="54" spans="3:37" ht="44.45" customHeight="1" x14ac:dyDescent="0.25">
      <c r="C54" s="25"/>
      <c r="D54" s="23" t="s">
        <v>110</v>
      </c>
      <c r="E54" s="23" t="s">
        <v>129</v>
      </c>
      <c r="F54" s="23">
        <v>1.8</v>
      </c>
      <c r="G54" s="23"/>
      <c r="H54" s="23"/>
      <c r="I54" s="23"/>
      <c r="J54" s="23"/>
      <c r="K54" s="23"/>
      <c r="L54" s="23">
        <v>0.8</v>
      </c>
      <c r="M54" s="23"/>
      <c r="N54" s="23"/>
      <c r="O54" s="23"/>
      <c r="P54" s="23"/>
      <c r="Q54" s="23"/>
      <c r="R54" s="23"/>
      <c r="S54" s="23"/>
      <c r="T54" s="23">
        <v>1</v>
      </c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>
        <v>-73.048029999999997</v>
      </c>
      <c r="AH54" s="23">
        <v>6.8362749999999997</v>
      </c>
      <c r="AI54" s="13"/>
      <c r="AJ54" s="13">
        <f t="shared" si="9"/>
        <v>0.18000000000000002</v>
      </c>
      <c r="AK54" s="14">
        <f t="shared" si="10"/>
        <v>4.1365523930458101E-2</v>
      </c>
    </row>
    <row r="55" spans="3:37" ht="44.45" customHeight="1" x14ac:dyDescent="0.25">
      <c r="C55" s="25"/>
      <c r="D55" s="23" t="s">
        <v>110</v>
      </c>
      <c r="E55" s="23" t="s">
        <v>131</v>
      </c>
      <c r="F55" s="23">
        <v>0.25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>
        <v>3</v>
      </c>
      <c r="X55" s="23">
        <v>2</v>
      </c>
      <c r="Y55" s="23"/>
      <c r="Z55" s="23"/>
      <c r="AA55" s="23"/>
      <c r="AB55" s="23"/>
      <c r="AC55" s="23"/>
      <c r="AD55" s="23"/>
      <c r="AE55" s="23"/>
      <c r="AF55" s="23"/>
      <c r="AG55" s="23">
        <v>-73.041257000000002</v>
      </c>
      <c r="AH55" s="23">
        <v>6.8358800000000004</v>
      </c>
      <c r="AI55" s="13"/>
      <c r="AJ55" s="13">
        <f t="shared" si="9"/>
        <v>6.5138888888888885E-3</v>
      </c>
      <c r="AK55" s="14">
        <f t="shared" si="10"/>
        <v>1.4969468150759912E-3</v>
      </c>
    </row>
    <row r="56" spans="3:37" ht="44.45" customHeight="1" x14ac:dyDescent="0.25">
      <c r="C56" s="25"/>
      <c r="D56" s="23" t="s">
        <v>114</v>
      </c>
      <c r="E56" s="23" t="s">
        <v>135</v>
      </c>
      <c r="F56" s="23">
        <v>2</v>
      </c>
      <c r="G56" s="23"/>
      <c r="H56" s="23"/>
      <c r="I56" s="23"/>
      <c r="J56" s="23"/>
      <c r="K56" s="23"/>
      <c r="L56" s="23">
        <v>1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>
        <v>3</v>
      </c>
      <c r="X56" s="23">
        <v>2</v>
      </c>
      <c r="Y56" s="23"/>
      <c r="Z56" s="23"/>
      <c r="AA56" s="23"/>
      <c r="AB56" s="23"/>
      <c r="AC56" s="23"/>
      <c r="AD56" s="23"/>
      <c r="AE56" s="23"/>
      <c r="AF56" s="23"/>
      <c r="AG56" s="23">
        <v>-73.047234000000003</v>
      </c>
      <c r="AH56" s="23">
        <v>6.8362410000000002</v>
      </c>
      <c r="AI56" s="13"/>
      <c r="AJ56" s="13">
        <f t="shared" si="9"/>
        <v>0.10651388888888889</v>
      </c>
      <c r="AK56" s="14">
        <f t="shared" si="10"/>
        <v>2.4477793443108267E-2</v>
      </c>
    </row>
    <row r="57" spans="3:37" ht="44.45" customHeight="1" x14ac:dyDescent="0.25">
      <c r="C57" s="25"/>
      <c r="D57" s="23" t="s">
        <v>115</v>
      </c>
      <c r="E57" s="23" t="s">
        <v>136</v>
      </c>
      <c r="F57" s="23">
        <v>0.25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>
        <v>3</v>
      </c>
      <c r="X57" s="23"/>
      <c r="Y57" s="23"/>
      <c r="Z57" s="23"/>
      <c r="AA57" s="23"/>
      <c r="AB57" s="23"/>
      <c r="AC57" s="23"/>
      <c r="AD57" s="23"/>
      <c r="AE57" s="23">
        <v>30</v>
      </c>
      <c r="AF57" s="23"/>
      <c r="AG57" s="23">
        <v>-73.047324000000003</v>
      </c>
      <c r="AH57" s="23">
        <v>6.8361429999999999</v>
      </c>
      <c r="AI57" s="13"/>
      <c r="AJ57" s="13">
        <f t="shared" si="9"/>
        <v>4.6338888888888888E-3</v>
      </c>
      <c r="AK57" s="14">
        <f t="shared" si="10"/>
        <v>1.0649068984689843E-3</v>
      </c>
    </row>
    <row r="58" spans="3:37" ht="44.45" customHeight="1" x14ac:dyDescent="0.25"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49" t="s">
        <v>323</v>
      </c>
      <c r="AJ58" s="49">
        <f>SUM(AJ43:AJ57)</f>
        <v>1.3362959259259257</v>
      </c>
      <c r="AK58" s="51">
        <f>SUM(AK43:AK57)</f>
        <v>0.30709211723368085</v>
      </c>
    </row>
    <row r="59" spans="3:37" ht="44.45" customHeight="1" x14ac:dyDescent="0.25">
      <c r="AI59" s="35">
        <v>1.9796477304100781</v>
      </c>
    </row>
    <row r="60" spans="3:37" ht="44.45" customHeight="1" x14ac:dyDescent="0.25">
      <c r="C60" s="140" t="s">
        <v>151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7"/>
      <c r="AH60" s="17"/>
      <c r="AI60" s="7"/>
      <c r="AJ60" s="8"/>
      <c r="AK60" s="4"/>
    </row>
    <row r="61" spans="3:37" ht="44.45" customHeight="1" x14ac:dyDescent="0.25">
      <c r="C61" s="3">
        <v>1</v>
      </c>
      <c r="D61" s="23" t="s">
        <v>107</v>
      </c>
      <c r="E61" s="23" t="s">
        <v>126</v>
      </c>
      <c r="F61" s="23">
        <v>0.26400000000000001</v>
      </c>
      <c r="G61" s="15"/>
      <c r="H61" s="22"/>
      <c r="I61" s="22"/>
      <c r="J61" s="22"/>
      <c r="K61" s="1"/>
      <c r="L61" s="23"/>
      <c r="M61" s="22"/>
      <c r="N61" s="22"/>
      <c r="O61" s="22"/>
      <c r="P61" s="22"/>
      <c r="Q61" s="22"/>
      <c r="R61" s="16">
        <v>0.05</v>
      </c>
      <c r="S61" s="16"/>
      <c r="T61" s="16"/>
      <c r="U61" s="16"/>
      <c r="V61" s="1"/>
      <c r="W61" s="23">
        <v>10</v>
      </c>
      <c r="X61" s="23"/>
      <c r="Y61" s="30"/>
      <c r="Z61" s="23"/>
      <c r="AA61" s="8"/>
      <c r="AB61" s="23"/>
      <c r="AC61" s="23"/>
      <c r="AD61" s="23"/>
      <c r="AE61" s="23">
        <v>100</v>
      </c>
      <c r="AF61" s="8"/>
      <c r="AG61" s="23">
        <v>-73.045703000000003</v>
      </c>
      <c r="AH61" s="23">
        <v>6.8352519999999997</v>
      </c>
      <c r="AI61" s="13"/>
      <c r="AJ61" s="13">
        <f t="shared" ref="AJ61:AJ65" si="11">($H61*0.0001)+(0.1*$I61)+($J61*0.1)+($K61*0.1)+($L61*0.1)+($M61*0.1)+($N61*0.1)+($O61*0.1)+($P61*0.1)+($V61*0.1)+($W61*(130/(3600*24)))+($X61*0.001)+($Z61*0.0006)+($AA61*0.002)+($AB61*0.0002)+($AE61*0.000004)+($AF61*0.0004)+($Q61*0.1)+($R61*0.1)+($S61*0.1)+($T61*0.1)+($U61*0.1)+($AC61*3.47222222222222E-09)+($AD61*1.15740740740741E-09)</f>
        <v>2.0446296296296296E-2</v>
      </c>
      <c r="AK61" s="14">
        <f>AJ61/$AI$59</f>
        <v>1.032824981041496E-2</v>
      </c>
    </row>
    <row r="62" spans="3:37" ht="44.45" customHeight="1" x14ac:dyDescent="0.25">
      <c r="C62" s="3">
        <v>2</v>
      </c>
      <c r="D62" s="23" t="s">
        <v>108</v>
      </c>
      <c r="E62" s="23" t="s">
        <v>127</v>
      </c>
      <c r="F62" s="23">
        <v>4.87</v>
      </c>
      <c r="G62" s="1"/>
      <c r="H62" s="22"/>
      <c r="I62" s="22"/>
      <c r="J62" s="22"/>
      <c r="K62" s="1"/>
      <c r="L62" s="23"/>
      <c r="M62" s="1"/>
      <c r="N62" s="22"/>
      <c r="O62" s="22">
        <v>4</v>
      </c>
      <c r="P62" s="22"/>
      <c r="Q62" s="22"/>
      <c r="R62" s="22"/>
      <c r="S62" s="22"/>
      <c r="T62" s="22"/>
      <c r="U62" s="22"/>
      <c r="V62" s="1"/>
      <c r="W62" s="23">
        <v>5</v>
      </c>
      <c r="X62" s="23"/>
      <c r="Y62" s="1"/>
      <c r="Z62" s="23"/>
      <c r="AA62" s="8"/>
      <c r="AB62" s="8"/>
      <c r="AC62" s="8"/>
      <c r="AD62" s="8"/>
      <c r="AE62" s="23"/>
      <c r="AF62" s="8"/>
      <c r="AG62" s="23">
        <v>-73.047452000000007</v>
      </c>
      <c r="AH62" s="23">
        <v>6.8332920000000001</v>
      </c>
      <c r="AI62" s="13"/>
      <c r="AJ62" s="13">
        <f t="shared" si="11"/>
        <v>0.40752314814814816</v>
      </c>
      <c r="AK62" s="14">
        <f t="shared" ref="AK62:AK65" si="12">AJ62/$AI$59</f>
        <v>0.20585639651339935</v>
      </c>
    </row>
    <row r="63" spans="3:37" ht="44.45" customHeight="1" x14ac:dyDescent="0.25">
      <c r="C63" s="25"/>
      <c r="D63" s="23" t="s">
        <v>111</v>
      </c>
      <c r="E63" s="23" t="s">
        <v>132</v>
      </c>
      <c r="F63" s="23">
        <v>0.6845</v>
      </c>
      <c r="G63" s="23"/>
      <c r="H63" s="23"/>
      <c r="I63" s="23"/>
      <c r="J63" s="23"/>
      <c r="K63" s="23"/>
      <c r="L63" s="23">
        <v>0.05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>
        <v>3</v>
      </c>
      <c r="X63" s="23">
        <v>2</v>
      </c>
      <c r="Y63" s="23"/>
      <c r="Z63" s="23"/>
      <c r="AA63" s="23"/>
      <c r="AB63" s="23"/>
      <c r="AC63" s="23"/>
      <c r="AD63" s="23"/>
      <c r="AE63" s="23">
        <v>50</v>
      </c>
      <c r="AF63" s="23"/>
      <c r="AG63" s="23">
        <v>-73.047015000000002</v>
      </c>
      <c r="AH63" s="23">
        <v>6.8334820000000001</v>
      </c>
      <c r="AI63" s="13"/>
      <c r="AJ63" s="13">
        <f t="shared" si="11"/>
        <v>1.171388888888889E-2</v>
      </c>
      <c r="AK63" s="14">
        <f t="shared" si="12"/>
        <v>5.9171582443419838E-3</v>
      </c>
    </row>
    <row r="64" spans="3:37" ht="44.45" customHeight="1" x14ac:dyDescent="0.25">
      <c r="C64" s="25"/>
      <c r="D64" s="23" t="s">
        <v>116</v>
      </c>
      <c r="E64" s="23" t="s">
        <v>137</v>
      </c>
      <c r="F64" s="23">
        <v>1.5</v>
      </c>
      <c r="G64" s="23"/>
      <c r="H64" s="23"/>
      <c r="I64" s="23"/>
      <c r="J64" s="23"/>
      <c r="K64" s="23"/>
      <c r="L64" s="23"/>
      <c r="M64" s="23"/>
      <c r="N64" s="23"/>
      <c r="O64" s="23"/>
      <c r="P64" s="23">
        <v>0.7</v>
      </c>
      <c r="Q64" s="23"/>
      <c r="R64" s="23"/>
      <c r="S64" s="23"/>
      <c r="T64" s="23"/>
      <c r="U64" s="23"/>
      <c r="V64" s="23"/>
      <c r="W64" s="23">
        <v>4</v>
      </c>
      <c r="X64" s="23">
        <v>2</v>
      </c>
      <c r="Y64" s="23"/>
      <c r="Z64" s="23"/>
      <c r="AA64" s="23"/>
      <c r="AB64" s="23"/>
      <c r="AC64" s="23"/>
      <c r="AD64" s="23"/>
      <c r="AE64" s="23"/>
      <c r="AF64" s="23"/>
      <c r="AG64" s="23">
        <v>-73.044863000000007</v>
      </c>
      <c r="AH64" s="23">
        <v>6.8327119999999999</v>
      </c>
      <c r="AI64" s="13"/>
      <c r="AJ64" s="13">
        <f t="shared" si="11"/>
        <v>7.8018518518518515E-2</v>
      </c>
      <c r="AK64" s="14">
        <f t="shared" si="12"/>
        <v>3.9410303823275268E-2</v>
      </c>
    </row>
    <row r="65" spans="3:37" ht="44.45" customHeight="1" x14ac:dyDescent="0.25">
      <c r="C65" s="25"/>
      <c r="D65" s="23" t="s">
        <v>153</v>
      </c>
      <c r="E65" s="23" t="s">
        <v>142</v>
      </c>
      <c r="F65" s="23">
        <v>5.3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3">
        <v>5</v>
      </c>
      <c r="X65" s="25"/>
      <c r="Y65" s="25"/>
      <c r="Z65" s="25"/>
      <c r="AA65" s="25"/>
      <c r="AB65" s="25"/>
      <c r="AC65" s="25"/>
      <c r="AD65" s="25"/>
      <c r="AE65" s="25"/>
      <c r="AF65" s="25"/>
      <c r="AG65" s="23">
        <v>4994742.7221499998</v>
      </c>
      <c r="AH65" s="23">
        <v>2312988.8658099999</v>
      </c>
      <c r="AI65" s="13"/>
      <c r="AJ65" s="13">
        <f t="shared" si="11"/>
        <v>7.5231481481481486E-3</v>
      </c>
      <c r="AK65" s="14">
        <f t="shared" si="12"/>
        <v>3.8002458884893379E-3</v>
      </c>
    </row>
    <row r="66" spans="3:37" ht="44.45" customHeight="1" x14ac:dyDescent="0.25">
      <c r="D66" s="20"/>
      <c r="E66" s="20"/>
      <c r="F66" s="20"/>
      <c r="W66" s="20"/>
      <c r="AG66" s="20"/>
      <c r="AH66" s="20"/>
      <c r="AI66" s="49" t="s">
        <v>323</v>
      </c>
      <c r="AJ66" s="49">
        <f>SUM(AJ61:AJ65)</f>
        <v>0.52522500000000005</v>
      </c>
      <c r="AK66" s="51">
        <f>SUM(AK61:AK65)</f>
        <v>0.26531235427992089</v>
      </c>
    </row>
    <row r="67" spans="3:37" ht="44.45" customHeight="1" x14ac:dyDescent="0.25">
      <c r="AI67" s="35">
        <v>1.8531405744364164</v>
      </c>
    </row>
    <row r="68" spans="3:37" ht="44.45" customHeight="1" x14ac:dyDescent="0.25">
      <c r="C68" s="140" t="s">
        <v>154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7"/>
      <c r="AH68" s="17"/>
      <c r="AI68" s="7"/>
      <c r="AJ68" s="8"/>
      <c r="AK68" s="4"/>
    </row>
    <row r="69" spans="3:37" ht="44.45" customHeight="1" x14ac:dyDescent="0.25">
      <c r="C69" s="3">
        <v>1</v>
      </c>
      <c r="D69" s="23" t="s">
        <v>76</v>
      </c>
      <c r="E69" s="23" t="s">
        <v>90</v>
      </c>
      <c r="F69" s="23">
        <v>0.28000000000000003</v>
      </c>
      <c r="G69" s="15"/>
      <c r="H69" s="22"/>
      <c r="I69" s="22"/>
      <c r="J69" s="22"/>
      <c r="K69" s="1"/>
      <c r="L69" s="23"/>
      <c r="M69" s="22"/>
      <c r="N69" s="22"/>
      <c r="O69" s="22"/>
      <c r="P69" s="22"/>
      <c r="Q69" s="22"/>
      <c r="R69" s="16"/>
      <c r="S69" s="16"/>
      <c r="T69" s="16"/>
      <c r="U69" s="16"/>
      <c r="V69" s="1"/>
      <c r="W69" s="23">
        <v>3</v>
      </c>
      <c r="X69" s="23">
        <v>10</v>
      </c>
      <c r="Y69" s="30"/>
      <c r="Z69" s="23"/>
      <c r="AA69" s="8"/>
      <c r="AB69" s="23"/>
      <c r="AC69" s="23"/>
      <c r="AD69" s="23"/>
      <c r="AE69" s="23"/>
      <c r="AF69" s="8"/>
      <c r="AG69" s="23">
        <v>-73.054903999999993</v>
      </c>
      <c r="AH69" s="23">
        <v>6.8356139999999996</v>
      </c>
      <c r="AI69" s="13"/>
      <c r="AJ69" s="13">
        <f t="shared" ref="AJ69:AJ77" si="13">($H69*0.0001)+(0.1*$I69)+($J69*0.1)+($K69*0.1)+($L69*0.1)+($M69*0.1)+($N69*0.1)+($O69*0.1)+($P69*0.1)+($V69*0.1)+($W69*(130/(3600*24)))+($X69*0.001)+($Z69*0.0006)+($AA69*0.002)+($AB69*0.0002)+($AE69*0.000004)+($AF69*0.0004)+($Q69*0.1)+($R69*0.1)+($S69*0.1)+($T69*0.1)+($U69*0.1)+($AC69*3.47222222222222E-09)+($AD69*1.15740740740741E-09)</f>
        <v>1.4513888888888889E-2</v>
      </c>
      <c r="AK69" s="14">
        <f>AJ69/$AI$67</f>
        <v>7.8320495968326118E-3</v>
      </c>
    </row>
    <row r="70" spans="3:37" ht="44.45" customHeight="1" x14ac:dyDescent="0.25">
      <c r="C70" s="3">
        <v>2</v>
      </c>
      <c r="D70" s="23" t="s">
        <v>77</v>
      </c>
      <c r="E70" s="23" t="s">
        <v>91</v>
      </c>
      <c r="F70" s="23">
        <v>2</v>
      </c>
      <c r="G70" s="1"/>
      <c r="H70" s="22"/>
      <c r="I70" s="22"/>
      <c r="J70" s="22"/>
      <c r="K70" s="1"/>
      <c r="L70" s="23"/>
      <c r="M70" s="22">
        <v>0.5</v>
      </c>
      <c r="N70" s="22"/>
      <c r="O70" s="22"/>
      <c r="P70" s="22"/>
      <c r="Q70" s="22"/>
      <c r="R70" s="22"/>
      <c r="S70" s="22"/>
      <c r="T70" s="22"/>
      <c r="U70" s="22"/>
      <c r="V70" s="1"/>
      <c r="W70" s="23">
        <v>6</v>
      </c>
      <c r="X70" s="23">
        <v>5</v>
      </c>
      <c r="Y70" s="1"/>
      <c r="Z70" s="23"/>
      <c r="AA70" s="8"/>
      <c r="AB70" s="8"/>
      <c r="AC70" s="8"/>
      <c r="AD70" s="8"/>
      <c r="AE70" s="23"/>
      <c r="AF70" s="8"/>
      <c r="AG70" s="23">
        <v>-73.052983999999995</v>
      </c>
      <c r="AH70" s="23">
        <v>6.834619</v>
      </c>
      <c r="AI70" s="13"/>
      <c r="AJ70" s="13">
        <f t="shared" si="13"/>
        <v>6.4027777777777781E-2</v>
      </c>
      <c r="AK70" s="14">
        <f t="shared" ref="AK70:AK77" si="14">AJ70/$AI$67</f>
        <v>3.4550955637701761E-2</v>
      </c>
    </row>
    <row r="71" spans="3:37" ht="44.45" customHeight="1" x14ac:dyDescent="0.25">
      <c r="C71" s="25"/>
      <c r="D71" s="23" t="s">
        <v>80</v>
      </c>
      <c r="E71" s="23" t="s">
        <v>94</v>
      </c>
      <c r="F71" s="23">
        <v>2500</v>
      </c>
      <c r="G71" s="23"/>
      <c r="H71" s="23"/>
      <c r="I71" s="23"/>
      <c r="J71" s="23"/>
      <c r="K71" s="23"/>
      <c r="L71" s="23">
        <v>0.1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>
        <v>3</v>
      </c>
      <c r="X71" s="23">
        <v>2</v>
      </c>
      <c r="Y71" s="23"/>
      <c r="Z71" s="23"/>
      <c r="AA71" s="23"/>
      <c r="AB71" s="23"/>
      <c r="AC71" s="23"/>
      <c r="AD71" s="23"/>
      <c r="AE71" s="23"/>
      <c r="AF71" s="23"/>
      <c r="AG71" s="23">
        <v>-73.052817000000005</v>
      </c>
      <c r="AH71" s="23">
        <v>6.8361700000000001</v>
      </c>
      <c r="AI71" s="13"/>
      <c r="AJ71" s="13">
        <f t="shared" si="13"/>
        <v>1.651388888888889E-2</v>
      </c>
      <c r="AK71" s="14">
        <f t="shared" si="14"/>
        <v>8.9112985364918421E-3</v>
      </c>
    </row>
    <row r="72" spans="3:37" ht="44.45" customHeight="1" x14ac:dyDescent="0.25">
      <c r="C72" s="25"/>
      <c r="D72" s="23" t="s">
        <v>81</v>
      </c>
      <c r="E72" s="23" t="s">
        <v>95</v>
      </c>
      <c r="F72" s="23">
        <v>0.25</v>
      </c>
      <c r="G72" s="23"/>
      <c r="H72" s="23"/>
      <c r="I72" s="23"/>
      <c r="J72" s="23"/>
      <c r="K72" s="23"/>
      <c r="L72" s="23">
        <v>0.1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>
        <v>2</v>
      </c>
      <c r="X72" s="23">
        <v>2</v>
      </c>
      <c r="Y72" s="23"/>
      <c r="Z72" s="23"/>
      <c r="AA72" s="23"/>
      <c r="AB72" s="23"/>
      <c r="AC72" s="23"/>
      <c r="AD72" s="23"/>
      <c r="AE72" s="23"/>
      <c r="AF72" s="23"/>
      <c r="AG72" s="23">
        <v>-73.053715999999994</v>
      </c>
      <c r="AH72" s="23">
        <v>6.8369559999999998</v>
      </c>
      <c r="AI72" s="13"/>
      <c r="AJ72" s="13">
        <f t="shared" si="13"/>
        <v>1.5009259259259262E-2</v>
      </c>
      <c r="AK72" s="14">
        <f t="shared" si="14"/>
        <v>8.0993635703130243E-3</v>
      </c>
    </row>
    <row r="73" spans="3:37" ht="44.45" customHeight="1" x14ac:dyDescent="0.25">
      <c r="C73" s="25"/>
      <c r="D73" s="23" t="s">
        <v>83</v>
      </c>
      <c r="E73" s="23" t="s">
        <v>97</v>
      </c>
      <c r="F73" s="23">
        <v>0.25</v>
      </c>
      <c r="G73" s="25"/>
      <c r="H73" s="25"/>
      <c r="I73" s="25"/>
      <c r="J73" s="25"/>
      <c r="K73" s="25"/>
      <c r="L73" s="23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3">
        <v>3</v>
      </c>
      <c r="X73" s="23">
        <v>2</v>
      </c>
      <c r="Y73" s="25"/>
      <c r="Z73" s="25"/>
      <c r="AA73" s="25"/>
      <c r="AB73" s="25"/>
      <c r="AC73" s="25"/>
      <c r="AD73" s="25"/>
      <c r="AE73" s="25"/>
      <c r="AF73" s="25"/>
      <c r="AG73" s="23">
        <v>-73.054469999999995</v>
      </c>
      <c r="AH73" s="23">
        <v>6.835458</v>
      </c>
      <c r="AI73" s="13"/>
      <c r="AJ73" s="13">
        <f t="shared" si="13"/>
        <v>6.5138888888888885E-3</v>
      </c>
      <c r="AK73" s="14">
        <f t="shared" si="14"/>
        <v>3.5150538381956884E-3</v>
      </c>
    </row>
    <row r="74" spans="3:37" ht="44.45" customHeight="1" x14ac:dyDescent="0.25">
      <c r="C74" s="25"/>
      <c r="D74" s="23" t="s">
        <v>85</v>
      </c>
      <c r="E74" s="23" t="s">
        <v>99</v>
      </c>
      <c r="F74" s="23">
        <v>0.25</v>
      </c>
      <c r="G74" s="25"/>
      <c r="H74" s="25"/>
      <c r="I74" s="25"/>
      <c r="J74" s="25"/>
      <c r="K74" s="25"/>
      <c r="L74" s="23"/>
      <c r="M74" s="25"/>
      <c r="N74" s="25"/>
      <c r="O74" s="25"/>
      <c r="P74" s="23">
        <v>0.15</v>
      </c>
      <c r="Q74" s="25"/>
      <c r="R74" s="25"/>
      <c r="S74" s="25"/>
      <c r="T74" s="25"/>
      <c r="U74" s="25"/>
      <c r="V74" s="25"/>
      <c r="W74" s="23">
        <v>2</v>
      </c>
      <c r="X74" s="23">
        <v>3</v>
      </c>
      <c r="Y74" s="25"/>
      <c r="Z74" s="25"/>
      <c r="AA74" s="25"/>
      <c r="AB74" s="25"/>
      <c r="AC74" s="25"/>
      <c r="AD74" s="25"/>
      <c r="AE74" s="25"/>
      <c r="AF74" s="25"/>
      <c r="AG74" s="23">
        <v>-73.053156999999999</v>
      </c>
      <c r="AH74" s="23">
        <v>6.8363360000000002</v>
      </c>
      <c r="AI74" s="13"/>
      <c r="AJ74" s="13">
        <f t="shared" si="13"/>
        <v>2.1009259259259259E-2</v>
      </c>
      <c r="AK74" s="14">
        <f t="shared" si="14"/>
        <v>1.1337110389290713E-2</v>
      </c>
    </row>
    <row r="75" spans="3:37" ht="44.45" customHeight="1" x14ac:dyDescent="0.25">
      <c r="C75" s="25"/>
      <c r="D75" s="23" t="s">
        <v>86</v>
      </c>
      <c r="E75" s="23" t="s">
        <v>100</v>
      </c>
      <c r="F75" s="23">
        <v>0.25</v>
      </c>
      <c r="G75" s="25"/>
      <c r="H75" s="25"/>
      <c r="I75" s="25"/>
      <c r="J75" s="25"/>
      <c r="K75" s="25"/>
      <c r="L75" s="23">
        <v>0.05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3"/>
      <c r="X75" s="23"/>
      <c r="Y75" s="25"/>
      <c r="Z75" s="25"/>
      <c r="AA75" s="25"/>
      <c r="AB75" s="25"/>
      <c r="AC75" s="25"/>
      <c r="AD75" s="25"/>
      <c r="AE75" s="25"/>
      <c r="AF75" s="25"/>
      <c r="AG75" s="23">
        <v>-73.053297000000001</v>
      </c>
      <c r="AH75" s="23">
        <v>6.8366680000000004</v>
      </c>
      <c r="AI75" s="13"/>
      <c r="AJ75" s="13">
        <f t="shared" si="13"/>
        <v>5.000000000000001E-3</v>
      </c>
      <c r="AK75" s="14">
        <f t="shared" si="14"/>
        <v>2.6981223491480771E-3</v>
      </c>
    </row>
    <row r="76" spans="3:37" ht="44.45" customHeight="1" x14ac:dyDescent="0.25">
      <c r="C76" s="25"/>
      <c r="D76" s="23" t="s">
        <v>89</v>
      </c>
      <c r="E76" s="23" t="s">
        <v>103</v>
      </c>
      <c r="F76" s="23">
        <v>0.4</v>
      </c>
      <c r="G76" s="25"/>
      <c r="H76" s="25"/>
      <c r="I76" s="25"/>
      <c r="J76" s="25"/>
      <c r="K76" s="25"/>
      <c r="L76" s="25"/>
      <c r="M76" s="23">
        <v>0.1</v>
      </c>
      <c r="N76" s="25"/>
      <c r="O76" s="25"/>
      <c r="P76" s="25"/>
      <c r="Q76" s="25"/>
      <c r="R76" s="25"/>
      <c r="S76" s="25"/>
      <c r="T76" s="25"/>
      <c r="U76" s="25"/>
      <c r="V76" s="25"/>
      <c r="W76" s="23">
        <v>1</v>
      </c>
      <c r="X76" s="23">
        <v>4</v>
      </c>
      <c r="Y76" s="25"/>
      <c r="Z76" s="25"/>
      <c r="AA76" s="25"/>
      <c r="AB76" s="25"/>
      <c r="AC76" s="25"/>
      <c r="AD76" s="25"/>
      <c r="AE76" s="25"/>
      <c r="AF76" s="25"/>
      <c r="AG76" s="23">
        <v>-73.055282000000005</v>
      </c>
      <c r="AH76" s="23">
        <v>6.8357869999999998</v>
      </c>
      <c r="AI76" s="13"/>
      <c r="AJ76" s="13">
        <f t="shared" si="13"/>
        <v>1.5504629629629632E-2</v>
      </c>
      <c r="AK76" s="14">
        <f t="shared" si="14"/>
        <v>8.3666775437934351E-3</v>
      </c>
    </row>
    <row r="77" spans="3:37" ht="44.45" customHeight="1" x14ac:dyDescent="0.25">
      <c r="C77" s="25"/>
      <c r="D77" s="23" t="s">
        <v>155</v>
      </c>
      <c r="E77" s="23" t="s">
        <v>143</v>
      </c>
      <c r="F77" s="23">
        <v>43.1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3">
        <v>3</v>
      </c>
      <c r="Y77" s="25"/>
      <c r="Z77" s="25"/>
      <c r="AA77" s="25"/>
      <c r="AB77" s="25"/>
      <c r="AC77" s="25"/>
      <c r="AD77" s="25"/>
      <c r="AE77" s="25"/>
      <c r="AF77" s="25"/>
      <c r="AG77" s="29">
        <v>4994220.0384299997</v>
      </c>
      <c r="AH77" s="29">
        <v>2313277.7587799998</v>
      </c>
      <c r="AI77" s="13"/>
      <c r="AJ77" s="13">
        <f t="shared" si="13"/>
        <v>3.0000000000000001E-3</v>
      </c>
      <c r="AK77" s="14">
        <f t="shared" si="14"/>
        <v>1.6188734094888459E-3</v>
      </c>
    </row>
    <row r="78" spans="3:37" ht="44.45" customHeight="1" x14ac:dyDescent="0.25">
      <c r="D78" s="20"/>
      <c r="E78" s="20"/>
      <c r="F78" s="20"/>
      <c r="X78" s="20"/>
      <c r="AG78" s="54"/>
      <c r="AH78" s="54"/>
      <c r="AI78" s="49" t="s">
        <v>323</v>
      </c>
      <c r="AJ78" s="49">
        <f>SUM(AJ69:AJ77)</f>
        <v>0.16109259259259262</v>
      </c>
      <c r="AK78" s="51">
        <f>SUM(AK69:AK77)</f>
        <v>8.6929504871256003E-2</v>
      </c>
    </row>
    <row r="79" spans="3:37" ht="44.45" customHeight="1" x14ac:dyDescent="0.25">
      <c r="AI79" s="35">
        <v>1.7341838554551772</v>
      </c>
    </row>
    <row r="80" spans="3:37" ht="44.45" customHeight="1" x14ac:dyDescent="0.25">
      <c r="C80" s="140" t="s">
        <v>156</v>
      </c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7"/>
      <c r="AH80" s="17"/>
      <c r="AI80" s="7"/>
      <c r="AJ80" s="8"/>
      <c r="AK80" s="4"/>
    </row>
    <row r="81" spans="3:37" ht="44.45" customHeight="1" x14ac:dyDescent="0.25">
      <c r="C81" s="3">
        <v>1</v>
      </c>
      <c r="D81" s="23" t="s">
        <v>78</v>
      </c>
      <c r="E81" s="23" t="s">
        <v>92</v>
      </c>
      <c r="F81" s="23">
        <v>0.24199999999999999</v>
      </c>
      <c r="G81" s="15"/>
      <c r="H81" s="22"/>
      <c r="I81" s="22"/>
      <c r="J81" s="22"/>
      <c r="K81" s="1"/>
      <c r="L81" s="23">
        <v>0.05</v>
      </c>
      <c r="M81" s="22"/>
      <c r="N81" s="22"/>
      <c r="O81" s="22"/>
      <c r="P81" s="22"/>
      <c r="Q81" s="22"/>
      <c r="R81" s="16"/>
      <c r="S81" s="16"/>
      <c r="T81" s="16"/>
      <c r="U81" s="16"/>
      <c r="V81" s="1"/>
      <c r="W81" s="23">
        <v>2</v>
      </c>
      <c r="X81" s="23">
        <v>2</v>
      </c>
      <c r="Y81" s="30"/>
      <c r="Z81" s="23"/>
      <c r="AA81" s="8"/>
      <c r="AB81" s="23"/>
      <c r="AC81" s="23"/>
      <c r="AD81" s="23"/>
      <c r="AE81" s="23"/>
      <c r="AF81" s="8"/>
      <c r="AG81" s="23"/>
      <c r="AH81" s="23"/>
      <c r="AI81" s="13"/>
      <c r="AJ81" s="13">
        <f t="shared" ref="AJ81:AJ85" si="15">($H81*0.0001)+(0.1*$I81)+($J81*0.1)+($K81*0.1)+($L81*0.1)+($M81*0.1)+($N81*0.1)+($O81*0.1)+($P81*0.1)+($V81*0.1)+($W81*(130/(3600*24)))+($X81*0.001)+($Z81*0.0006)+($AA81*0.002)+($AB81*0.0002)+($AE81*0.000004)+($AF81*0.0004)+($Q81*0.1)+($R81*0.1)+($S81*0.1)+($T81*0.1)+($U81*0.1)+($AC81*3.47222222222222E-09)+($AD81*1.15740740740741E-09)</f>
        <v>1.0009259259259261E-2</v>
      </c>
      <c r="AK81" s="14">
        <f>AJ81/$AI$79</f>
        <v>5.7717405382211318E-3</v>
      </c>
    </row>
    <row r="82" spans="3:37" ht="44.45" customHeight="1" x14ac:dyDescent="0.25">
      <c r="C82" s="3">
        <v>2</v>
      </c>
      <c r="D82" s="23" t="s">
        <v>79</v>
      </c>
      <c r="E82" s="23" t="s">
        <v>93</v>
      </c>
      <c r="F82" s="23">
        <v>0.25</v>
      </c>
      <c r="G82" s="1"/>
      <c r="H82" s="22"/>
      <c r="I82" s="22"/>
      <c r="J82" s="22"/>
      <c r="K82" s="1"/>
      <c r="L82" s="23"/>
      <c r="M82" s="22"/>
      <c r="N82" s="22"/>
      <c r="O82" s="22"/>
      <c r="P82" s="22"/>
      <c r="Q82" s="22"/>
      <c r="R82" s="22"/>
      <c r="S82" s="22"/>
      <c r="T82" s="22"/>
      <c r="U82" s="22"/>
      <c r="V82" s="1"/>
      <c r="W82" s="23">
        <v>2</v>
      </c>
      <c r="X82" s="23">
        <v>8</v>
      </c>
      <c r="Y82" s="1"/>
      <c r="Z82" s="23"/>
      <c r="AA82" s="8"/>
      <c r="AB82" s="8"/>
      <c r="AC82" s="8"/>
      <c r="AD82" s="8"/>
      <c r="AE82" s="23"/>
      <c r="AF82" s="8"/>
      <c r="AG82" s="23"/>
      <c r="AH82" s="23"/>
      <c r="AI82" s="13"/>
      <c r="AJ82" s="13">
        <f t="shared" si="15"/>
        <v>1.100925925925926E-2</v>
      </c>
      <c r="AK82" s="14">
        <f t="shared" ref="AK82:AK85" si="16">AJ82/$AI$79</f>
        <v>6.3483806659990049E-3</v>
      </c>
    </row>
    <row r="83" spans="3:37" ht="44.45" customHeight="1" x14ac:dyDescent="0.25">
      <c r="C83" s="25"/>
      <c r="D83" s="23" t="s">
        <v>84</v>
      </c>
      <c r="E83" s="23" t="s">
        <v>98</v>
      </c>
      <c r="F83" s="23">
        <v>1</v>
      </c>
      <c r="G83" s="23"/>
      <c r="H83" s="23"/>
      <c r="I83" s="23"/>
      <c r="J83" s="23"/>
      <c r="K83" s="23"/>
      <c r="L83" s="23"/>
      <c r="M83" s="23">
        <v>0.3</v>
      </c>
      <c r="N83" s="23"/>
      <c r="O83" s="23"/>
      <c r="P83" s="23"/>
      <c r="Q83" s="23"/>
      <c r="R83" s="23"/>
      <c r="S83" s="23"/>
      <c r="T83" s="23"/>
      <c r="U83" s="23"/>
      <c r="V83" s="23"/>
      <c r="W83" s="23">
        <v>2</v>
      </c>
      <c r="X83" s="23">
        <v>2</v>
      </c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13"/>
      <c r="AJ83" s="13">
        <f t="shared" si="15"/>
        <v>3.5009259259259261E-2</v>
      </c>
      <c r="AK83" s="14">
        <f t="shared" si="16"/>
        <v>2.0187743732667986E-2</v>
      </c>
    </row>
    <row r="84" spans="3:37" ht="44.45" customHeight="1" x14ac:dyDescent="0.25">
      <c r="C84" s="25"/>
      <c r="D84" s="23" t="s">
        <v>87</v>
      </c>
      <c r="E84" s="23" t="s">
        <v>101</v>
      </c>
      <c r="F84" s="23">
        <v>0.25</v>
      </c>
      <c r="G84" s="23"/>
      <c r="H84" s="23"/>
      <c r="I84" s="23"/>
      <c r="J84" s="23"/>
      <c r="K84" s="23"/>
      <c r="L84" s="23"/>
      <c r="M84" s="23"/>
      <c r="N84" s="23"/>
      <c r="O84" s="23"/>
      <c r="P84" s="23">
        <v>0.02</v>
      </c>
      <c r="Q84" s="23"/>
      <c r="R84" s="23"/>
      <c r="S84" s="23"/>
      <c r="T84" s="23"/>
      <c r="U84" s="23"/>
      <c r="V84" s="23"/>
      <c r="W84" s="23">
        <v>2</v>
      </c>
      <c r="X84" s="23">
        <v>6</v>
      </c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13"/>
      <c r="AJ84" s="13">
        <f t="shared" si="15"/>
        <v>1.100925925925926E-2</v>
      </c>
      <c r="AK84" s="14">
        <f t="shared" si="16"/>
        <v>6.3483806659990049E-3</v>
      </c>
    </row>
    <row r="85" spans="3:37" ht="44.45" customHeight="1" x14ac:dyDescent="0.25">
      <c r="C85" s="25"/>
      <c r="D85" s="23" t="s">
        <v>88</v>
      </c>
      <c r="E85" s="23" t="s">
        <v>102</v>
      </c>
      <c r="F85" s="23">
        <v>0.25</v>
      </c>
      <c r="G85" s="25"/>
      <c r="H85" s="25"/>
      <c r="I85" s="25"/>
      <c r="J85" s="25"/>
      <c r="K85" s="25"/>
      <c r="L85" s="23"/>
      <c r="M85" s="25"/>
      <c r="N85" s="25"/>
      <c r="O85" s="25"/>
      <c r="P85" s="23">
        <v>0.05</v>
      </c>
      <c r="Q85" s="25"/>
      <c r="R85" s="25"/>
      <c r="S85" s="25"/>
      <c r="T85" s="25"/>
      <c r="U85" s="25"/>
      <c r="V85" s="25"/>
      <c r="W85" s="23">
        <v>3</v>
      </c>
      <c r="X85" s="23">
        <v>2</v>
      </c>
      <c r="Y85" s="25"/>
      <c r="Z85" s="25"/>
      <c r="AA85" s="25"/>
      <c r="AB85" s="25"/>
      <c r="AC85" s="25"/>
      <c r="AD85" s="25"/>
      <c r="AE85" s="25"/>
      <c r="AF85" s="25"/>
      <c r="AG85" s="23"/>
      <c r="AH85" s="23"/>
      <c r="AI85" s="13"/>
      <c r="AJ85" s="13">
        <f t="shared" si="15"/>
        <v>1.1513888888888889E-2</v>
      </c>
      <c r="AK85" s="14">
        <f t="shared" si="16"/>
        <v>6.6393703601091356E-3</v>
      </c>
    </row>
    <row r="86" spans="3:37" ht="44.45" customHeight="1" x14ac:dyDescent="0.25">
      <c r="D86" s="20"/>
      <c r="E86" s="20"/>
      <c r="F86" s="20"/>
      <c r="L86" s="20"/>
      <c r="P86" s="20"/>
      <c r="W86" s="20"/>
      <c r="X86" s="20"/>
      <c r="AG86" s="20"/>
      <c r="AH86" s="20"/>
      <c r="AI86" s="49" t="s">
        <v>323</v>
      </c>
      <c r="AJ86" s="49">
        <f>SUM(AJ81:AJ85)</f>
        <v>7.8550925925925927E-2</v>
      </c>
      <c r="AK86" s="51">
        <f>SUM(AK81:AK85)</f>
        <v>4.5295615962996263E-2</v>
      </c>
    </row>
    <row r="87" spans="3:37" ht="44.45" customHeight="1" x14ac:dyDescent="0.25">
      <c r="AI87" s="35">
        <v>1.0639715900447055</v>
      </c>
    </row>
    <row r="88" spans="3:37" ht="44.45" customHeight="1" x14ac:dyDescent="0.25">
      <c r="C88" s="140" t="s">
        <v>157</v>
      </c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7"/>
      <c r="AH88" s="17"/>
      <c r="AI88" s="7"/>
      <c r="AJ88" s="8"/>
      <c r="AK88" s="4"/>
    </row>
    <row r="89" spans="3:37" ht="58.15" customHeight="1" x14ac:dyDescent="0.25">
      <c r="C89" s="3">
        <v>1</v>
      </c>
      <c r="D89" s="23" t="s">
        <v>82</v>
      </c>
      <c r="E89" s="23" t="s">
        <v>96</v>
      </c>
      <c r="F89" s="23">
        <v>2</v>
      </c>
      <c r="G89" s="15"/>
      <c r="H89" s="22"/>
      <c r="I89" s="22"/>
      <c r="J89" s="22"/>
      <c r="K89" s="1"/>
      <c r="L89" s="23">
        <v>0.05</v>
      </c>
      <c r="M89" s="22"/>
      <c r="N89" s="22"/>
      <c r="O89" s="22"/>
      <c r="P89" s="22"/>
      <c r="Q89" s="22">
        <v>1</v>
      </c>
      <c r="R89" s="16"/>
      <c r="S89" s="16"/>
      <c r="T89" s="16"/>
      <c r="U89" s="16"/>
      <c r="V89" s="1"/>
      <c r="W89" s="23">
        <v>4</v>
      </c>
      <c r="X89" s="23">
        <v>2</v>
      </c>
      <c r="Y89" s="30"/>
      <c r="Z89" s="23"/>
      <c r="AA89" s="8"/>
      <c r="AB89" s="23"/>
      <c r="AC89" s="23"/>
      <c r="AD89" s="23"/>
      <c r="AE89" s="23"/>
      <c r="AF89" s="8"/>
      <c r="AG89" s="23"/>
      <c r="AH89" s="23"/>
      <c r="AI89" s="13"/>
      <c r="AJ89" s="13">
        <f t="shared" ref="AJ89" si="17">($H89*0.0001)+(0.1*$I89)+($J89*0.1)+($K89*0.1)+($L89*0.1)+($M89*0.1)+($N89*0.1)+($O89*0.1)+($P89*0.1)+($V89*0.1)+($W89*(130/(3600*24)))+($X89*0.001)+($Z89*0.0006)+($AA89*0.002)+($AB89*0.0002)+($AE89*0.000004)+($AF89*0.0004)+($Q89*0.1)+($R89*0.1)+($S89*0.1)+($T89*0.1)+($U89*0.1)+($AC89*3.47222222222222E-09)+($AD89*1.15740740740741E-09)</f>
        <v>0.11301851851851852</v>
      </c>
      <c r="AK89" s="14">
        <f>AJ89/AI87</f>
        <v>0.10622324841753505</v>
      </c>
    </row>
    <row r="90" spans="3:37" ht="44.45" customHeight="1" x14ac:dyDescent="0.25">
      <c r="AI90" s="49" t="s">
        <v>323</v>
      </c>
      <c r="AJ90" s="60">
        <f>AJ89</f>
        <v>0.11301851851851852</v>
      </c>
      <c r="AK90" s="61">
        <f>AK89</f>
        <v>0.10622324841753505</v>
      </c>
    </row>
    <row r="91" spans="3:37" ht="44.45" customHeight="1" x14ac:dyDescent="0.25">
      <c r="C91" s="141" t="s">
        <v>158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2"/>
      <c r="AH91" s="142"/>
      <c r="AI91" s="55">
        <v>5.3329669334748644</v>
      </c>
      <c r="AJ91" s="48"/>
      <c r="AK91" s="56"/>
    </row>
    <row r="92" spans="3:37" ht="44.45" customHeight="1" x14ac:dyDescent="0.25">
      <c r="C92" s="140" t="s">
        <v>159</v>
      </c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7"/>
      <c r="AH92" s="17"/>
      <c r="AI92" s="7"/>
      <c r="AJ92" s="8"/>
      <c r="AK92" s="4"/>
    </row>
    <row r="93" spans="3:37" ht="44.45" customHeight="1" x14ac:dyDescent="0.25">
      <c r="C93" s="25"/>
      <c r="D93" s="23" t="s">
        <v>160</v>
      </c>
      <c r="E93" s="23" t="s">
        <v>29</v>
      </c>
      <c r="F93" s="23">
        <v>0.26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3">
        <v>2</v>
      </c>
      <c r="X93" s="23">
        <v>3</v>
      </c>
      <c r="Y93" s="25"/>
      <c r="Z93" s="25"/>
      <c r="AA93" s="25"/>
      <c r="AB93" s="25"/>
      <c r="AC93" s="25"/>
      <c r="AD93" s="25"/>
      <c r="AE93" s="25"/>
      <c r="AF93" s="25"/>
      <c r="AG93" s="23">
        <v>-73.051222999999993</v>
      </c>
      <c r="AH93" s="23">
        <v>6.8285229999999997</v>
      </c>
      <c r="AI93" s="13"/>
      <c r="AJ93" s="13">
        <f t="shared" ref="AJ93:AJ96" si="18">($H93*0.0001)+(0.1*$I93)+($J93*0.1)+($K93*0.1)+($L93*0.1)+($M93*0.1)+($N93*0.1)+($O93*0.1)+($P93*0.1)+($V93*0.1)+($W93*(130/(3600*24)))+($X93*0.001)+($Z93*0.0006)+($AA93*0.002)+($AB93*0.0002)+($AE93*0.000004)+($AF93*0.0004)+($Q93*0.1)+($R93*0.1)+($S93*0.1)+($T93*0.1)+($U93*0.1)+($AC93*3.47222222222222E-09)+($AD93*1.15740740740741E-09)</f>
        <v>6.0092592592592593E-3</v>
      </c>
      <c r="AK93" s="38">
        <f>AJ93/$AI$91</f>
        <v>1.1268135231702506E-3</v>
      </c>
    </row>
    <row r="94" spans="3:37" ht="44.45" customHeight="1" x14ac:dyDescent="0.25">
      <c r="C94" s="25"/>
      <c r="D94" s="23" t="s">
        <v>161</v>
      </c>
      <c r="E94" s="23" t="s">
        <v>27</v>
      </c>
      <c r="F94" s="23">
        <v>0.44</v>
      </c>
      <c r="G94" s="25"/>
      <c r="H94" s="25"/>
      <c r="I94" s="25"/>
      <c r="J94" s="25"/>
      <c r="K94" s="25"/>
      <c r="L94" s="25"/>
      <c r="M94" s="23">
        <v>0.1</v>
      </c>
      <c r="N94" s="25"/>
      <c r="O94" s="25"/>
      <c r="P94" s="25"/>
      <c r="Q94" s="25"/>
      <c r="R94" s="25"/>
      <c r="S94" s="25"/>
      <c r="T94" s="25"/>
      <c r="U94" s="25"/>
      <c r="V94" s="25"/>
      <c r="W94" s="23">
        <v>12</v>
      </c>
      <c r="X94" s="23">
        <v>22</v>
      </c>
      <c r="Y94" s="25"/>
      <c r="Z94" s="25"/>
      <c r="AA94" s="25"/>
      <c r="AB94" s="25"/>
      <c r="AC94" s="25"/>
      <c r="AD94" s="25"/>
      <c r="AE94" s="25"/>
      <c r="AF94" s="25"/>
      <c r="AG94" s="23">
        <v>-73.050780000000003</v>
      </c>
      <c r="AH94" s="23">
        <v>6.8282100000000003</v>
      </c>
      <c r="AI94" s="13"/>
      <c r="AJ94" s="13">
        <f t="shared" si="18"/>
        <v>5.0055555555555555E-2</v>
      </c>
      <c r="AK94" s="38">
        <f t="shared" ref="AK94:AK95" si="19">AJ94/$AI$91</f>
        <v>9.3860614888418709E-3</v>
      </c>
    </row>
    <row r="95" spans="3:37" ht="44.45" customHeight="1" x14ac:dyDescent="0.25">
      <c r="C95" s="25"/>
      <c r="D95" s="23" t="s">
        <v>162</v>
      </c>
      <c r="E95" s="23" t="s">
        <v>162</v>
      </c>
      <c r="F95" s="23">
        <v>12</v>
      </c>
      <c r="G95" s="25"/>
      <c r="H95" s="25"/>
      <c r="I95" s="25"/>
      <c r="J95" s="25"/>
      <c r="K95" s="25"/>
      <c r="L95" s="25"/>
      <c r="M95" s="23">
        <v>9</v>
      </c>
      <c r="N95" s="25"/>
      <c r="O95" s="25"/>
      <c r="P95" s="25"/>
      <c r="Q95" s="25"/>
      <c r="R95" s="25"/>
      <c r="S95" s="25"/>
      <c r="T95" s="25"/>
      <c r="U95" s="25"/>
      <c r="V95" s="25"/>
      <c r="W95" s="23">
        <v>30</v>
      </c>
      <c r="X95" s="23">
        <v>35</v>
      </c>
      <c r="Y95" s="25"/>
      <c r="Z95" s="25"/>
      <c r="AA95" s="25"/>
      <c r="AB95" s="25"/>
      <c r="AC95" s="25"/>
      <c r="AD95" s="25"/>
      <c r="AE95" s="25"/>
      <c r="AF95" s="25"/>
      <c r="AG95" s="23">
        <v>-73.041038</v>
      </c>
      <c r="AH95" s="23">
        <v>6.8265919999999998</v>
      </c>
      <c r="AI95" s="13"/>
      <c r="AJ95" s="13">
        <f t="shared" si="18"/>
        <v>0.98013888888888889</v>
      </c>
      <c r="AK95" s="38">
        <f t="shared" si="19"/>
        <v>0.18378866794327717</v>
      </c>
    </row>
    <row r="96" spans="3:37" ht="44.45" customHeight="1" x14ac:dyDescent="0.25">
      <c r="C96" s="25"/>
      <c r="D96" s="23" t="s">
        <v>163</v>
      </c>
      <c r="E96" s="23" t="s">
        <v>164</v>
      </c>
      <c r="F96" s="23">
        <v>20</v>
      </c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3">
        <v>39</v>
      </c>
      <c r="X96" s="23">
        <v>370</v>
      </c>
      <c r="Y96" s="25"/>
      <c r="Z96" s="25"/>
      <c r="AA96" s="25"/>
      <c r="AB96" s="25"/>
      <c r="AC96" s="25"/>
      <c r="AD96" s="25"/>
      <c r="AE96" s="25"/>
      <c r="AF96" s="25"/>
      <c r="AG96" s="23">
        <v>-73.269656999999995</v>
      </c>
      <c r="AH96" s="23">
        <v>6.8165829999999996</v>
      </c>
      <c r="AI96" s="13"/>
      <c r="AJ96" s="13">
        <f t="shared" si="18"/>
        <v>0.42868055555555556</v>
      </c>
      <c r="AK96" s="38">
        <f>AJ96/$AI$91</f>
        <v>8.0383126485323073E-2</v>
      </c>
    </row>
    <row r="97" spans="3:37" ht="44.45" customHeight="1" x14ac:dyDescent="0.25">
      <c r="D97" s="20"/>
      <c r="E97" s="20"/>
      <c r="F97" s="20"/>
      <c r="W97" s="20"/>
      <c r="X97" s="20"/>
      <c r="AG97" s="20"/>
      <c r="AH97" s="20"/>
      <c r="AI97" s="49" t="s">
        <v>323</v>
      </c>
      <c r="AJ97" s="62">
        <f>SUM(AJ93:AJ96)</f>
        <v>1.4648842592592592</v>
      </c>
      <c r="AK97" s="63">
        <f>SUM(AK93:AK96)</f>
        <v>0.27468466944061237</v>
      </c>
    </row>
    <row r="98" spans="3:37" ht="44.45" customHeight="1" x14ac:dyDescent="0.25">
      <c r="AI98" s="39">
        <v>4.020096545221743</v>
      </c>
    </row>
    <row r="99" spans="3:37" ht="44.45" customHeight="1" x14ac:dyDescent="0.25">
      <c r="C99" s="143" t="s">
        <v>165</v>
      </c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7"/>
      <c r="AH99" s="18"/>
      <c r="AI99" s="26"/>
      <c r="AJ99" s="8"/>
      <c r="AK99" s="4"/>
    </row>
    <row r="100" spans="3:37" ht="44.45" customHeight="1" x14ac:dyDescent="0.25">
      <c r="C100" s="23"/>
      <c r="D100" s="23" t="s">
        <v>166</v>
      </c>
      <c r="E100" s="23" t="s">
        <v>167</v>
      </c>
      <c r="F100" s="23">
        <v>1.3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>
        <v>10</v>
      </c>
      <c r="U100" s="23">
        <v>0.7</v>
      </c>
      <c r="V100" s="23"/>
      <c r="W100" s="23">
        <v>11</v>
      </c>
      <c r="X100" s="23"/>
      <c r="Y100" s="23"/>
      <c r="Z100" s="23"/>
      <c r="AA100" s="23"/>
      <c r="AB100" s="23"/>
      <c r="AC100" s="23"/>
      <c r="AD100" s="23"/>
      <c r="AE100" s="23">
        <v>1</v>
      </c>
      <c r="AF100" s="23"/>
      <c r="AG100" s="23">
        <v>-73.060944000000006</v>
      </c>
      <c r="AH100" s="23">
        <v>6.8329310000000003</v>
      </c>
      <c r="AI100" s="13"/>
      <c r="AJ100" s="13">
        <f t="shared" ref="AJ100:AJ101" si="20">($H100*0.0001)+(0.1*$I100)+($J100*0.1)+($K100*0.1)+($L100*0.1)+($M100*0.1)+($N100*0.1)+($O100*0.1)+($P100*0.1)+($V100*0.1)+($W100*(130/(3600*24)))+($X100*0.001)+($Z100*0.0006)+($AA100*0.002)+($AB100*0.0002)+($AE100*0.000004)+($AF100*0.0004)+($Q100*0.1)+($R100*0.1)+($S100*0.1)+($T100*0.1)+($U100*0.1)+($AC100*3.47222222222222E-09)+($AD100*1.15740740740741E-09)</f>
        <v>1.086554925925926</v>
      </c>
      <c r="AK100" s="38">
        <f>AJ100/$AI$98</f>
        <v>0.2702808038820354</v>
      </c>
    </row>
    <row r="101" spans="3:37" ht="44.45" customHeight="1" x14ac:dyDescent="0.25">
      <c r="C101" s="23"/>
      <c r="D101" s="23" t="s">
        <v>168</v>
      </c>
      <c r="E101" s="23" t="s">
        <v>169</v>
      </c>
      <c r="F101" s="23">
        <v>0.4</v>
      </c>
      <c r="G101" s="23"/>
      <c r="H101" s="23"/>
      <c r="I101" s="23"/>
      <c r="J101" s="23"/>
      <c r="K101" s="23"/>
      <c r="L101" s="23"/>
      <c r="M101" s="23"/>
      <c r="N101" s="23"/>
      <c r="O101" s="23">
        <v>0.1</v>
      </c>
      <c r="P101" s="23"/>
      <c r="Q101" s="23"/>
      <c r="R101" s="23"/>
      <c r="S101" s="23"/>
      <c r="T101" s="23"/>
      <c r="U101" s="23"/>
      <c r="V101" s="23"/>
      <c r="W101" s="23">
        <v>2</v>
      </c>
      <c r="X101" s="23">
        <v>3</v>
      </c>
      <c r="Y101" s="23"/>
      <c r="Z101" s="23"/>
      <c r="AA101" s="23"/>
      <c r="AB101" s="23"/>
      <c r="AC101" s="23"/>
      <c r="AD101" s="23"/>
      <c r="AE101" s="23"/>
      <c r="AF101" s="23"/>
      <c r="AG101" s="23">
        <v>-73.058873000000006</v>
      </c>
      <c r="AH101" s="23">
        <v>6.8326830000000003</v>
      </c>
      <c r="AI101" s="13"/>
      <c r="AJ101" s="13">
        <f t="shared" si="20"/>
        <v>1.6009259259259261E-2</v>
      </c>
      <c r="AK101" s="38">
        <f>AJ101/$AI$98</f>
        <v>3.9823071608286994E-3</v>
      </c>
    </row>
    <row r="102" spans="3:37" ht="44.45" customHeight="1" x14ac:dyDescent="0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49" t="s">
        <v>323</v>
      </c>
      <c r="AJ102" s="49">
        <f>SUM(AJ100:AJ101)</f>
        <v>1.1025641851851853</v>
      </c>
      <c r="AK102" s="51">
        <f>SUM(AK100:AK101)</f>
        <v>0.27426311104286411</v>
      </c>
    </row>
    <row r="103" spans="3:37" ht="44.45" customHeight="1" x14ac:dyDescent="0.25">
      <c r="AI103" s="35">
        <v>2.1120395105013756</v>
      </c>
    </row>
    <row r="104" spans="3:37" ht="44.45" customHeight="1" x14ac:dyDescent="0.25">
      <c r="C104" s="143" t="s">
        <v>171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7"/>
      <c r="AH104" s="18"/>
      <c r="AI104" s="26"/>
      <c r="AJ104" s="8"/>
      <c r="AK104" s="4"/>
    </row>
    <row r="105" spans="3:37" ht="44.45" customHeight="1" x14ac:dyDescent="0.25">
      <c r="C105" s="23"/>
      <c r="D105" s="23" t="s">
        <v>172</v>
      </c>
      <c r="E105" s="23" t="s">
        <v>173</v>
      </c>
      <c r="F105" s="23">
        <v>0.25</v>
      </c>
      <c r="G105" s="23"/>
      <c r="H105" s="23"/>
      <c r="I105" s="23"/>
      <c r="J105" s="23"/>
      <c r="K105" s="23"/>
      <c r="L105" s="23">
        <v>0.1</v>
      </c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>
        <v>3</v>
      </c>
      <c r="X105" s="23">
        <v>3</v>
      </c>
      <c r="Y105" s="23"/>
      <c r="Z105" s="23"/>
      <c r="AA105" s="23"/>
      <c r="AB105" s="23"/>
      <c r="AC105" s="23"/>
      <c r="AD105" s="23"/>
      <c r="AE105" s="23"/>
      <c r="AF105" s="23"/>
      <c r="AG105" s="23">
        <v>-73.059757000000005</v>
      </c>
      <c r="AH105" s="23">
        <v>6.8345070000000003</v>
      </c>
      <c r="AI105" s="13"/>
      <c r="AJ105" s="13">
        <f t="shared" ref="AJ105:AJ109" si="21">($H105*0.0001)+(0.1*$I105)+($J105*0.1)+($K105*0.1)+($L105*0.1)+($M105*0.1)+($N105*0.1)+($O105*0.1)+($P105*0.1)+($V105*0.1)+($W105*(130/(3600*24)))+($X105*0.001)+($Z105*0.0006)+($AA105*0.002)+($AB105*0.0002)+($AE105*0.000004)+($AF105*0.0004)+($Q105*0.1)+($R105*0.1)+($S105*0.1)+($T105*0.1)+($U105*0.1)+($AC105*3.47222222222222E-09)+($AD105*1.15740740740741E-09)</f>
        <v>1.7513888888888891E-2</v>
      </c>
      <c r="AK105" s="37">
        <f>AJ105/$AI$103</f>
        <v>8.292405895726487E-3</v>
      </c>
    </row>
    <row r="106" spans="3:37" ht="44.45" customHeight="1" x14ac:dyDescent="0.25">
      <c r="C106" s="23"/>
      <c r="D106" s="23" t="s">
        <v>174</v>
      </c>
      <c r="E106" s="23" t="s">
        <v>175</v>
      </c>
      <c r="F106" s="23">
        <v>0.27</v>
      </c>
      <c r="G106" s="23"/>
      <c r="H106" s="23"/>
      <c r="I106" s="23"/>
      <c r="J106" s="23"/>
      <c r="K106" s="23"/>
      <c r="L106" s="23"/>
      <c r="M106" s="23">
        <v>0.15</v>
      </c>
      <c r="N106" s="23"/>
      <c r="O106" s="23"/>
      <c r="P106" s="23"/>
      <c r="Q106" s="23"/>
      <c r="R106" s="23"/>
      <c r="S106" s="23"/>
      <c r="T106" s="23"/>
      <c r="U106" s="23"/>
      <c r="V106" s="23"/>
      <c r="W106" s="23">
        <v>11</v>
      </c>
      <c r="X106" s="23">
        <v>3</v>
      </c>
      <c r="Y106" s="23"/>
      <c r="Z106" s="23">
        <v>4</v>
      </c>
      <c r="AA106" s="23"/>
      <c r="AB106" s="23"/>
      <c r="AC106" s="23"/>
      <c r="AD106" s="23"/>
      <c r="AE106" s="23">
        <v>100</v>
      </c>
      <c r="AF106" s="23"/>
      <c r="AG106" s="23">
        <v>-73.059782999999996</v>
      </c>
      <c r="AH106" s="23">
        <v>6.8343069999999999</v>
      </c>
      <c r="AI106" s="13"/>
      <c r="AJ106" s="13">
        <f t="shared" si="21"/>
        <v>3.7350925925925926E-2</v>
      </c>
      <c r="AK106" s="37">
        <f t="shared" ref="AK106:AK109" si="22">AJ106/$AI$103</f>
        <v>1.768476666284487E-2</v>
      </c>
    </row>
    <row r="107" spans="3:37" ht="44.45" customHeight="1" x14ac:dyDescent="0.25">
      <c r="C107" s="25"/>
      <c r="D107" s="23" t="s">
        <v>176</v>
      </c>
      <c r="E107" s="23" t="s">
        <v>177</v>
      </c>
      <c r="F107" s="23">
        <v>0.25</v>
      </c>
      <c r="G107" s="23"/>
      <c r="H107" s="23"/>
      <c r="I107" s="23"/>
      <c r="J107" s="23"/>
      <c r="K107" s="23"/>
      <c r="L107" s="23"/>
      <c r="M107" s="23"/>
      <c r="N107" s="23"/>
      <c r="O107" s="23">
        <v>0.1</v>
      </c>
      <c r="P107" s="23"/>
      <c r="Q107" s="23"/>
      <c r="R107" s="23"/>
      <c r="S107" s="23"/>
      <c r="T107" s="23"/>
      <c r="U107" s="23"/>
      <c r="V107" s="23"/>
      <c r="W107" s="23">
        <v>2</v>
      </c>
      <c r="X107" s="23">
        <v>3</v>
      </c>
      <c r="Y107" s="23"/>
      <c r="Z107" s="23"/>
      <c r="AA107" s="23"/>
      <c r="AB107" s="23"/>
      <c r="AC107" s="23"/>
      <c r="AD107" s="23"/>
      <c r="AE107" s="23"/>
      <c r="AF107" s="23"/>
      <c r="AG107" s="23">
        <v>-73.059961999999999</v>
      </c>
      <c r="AH107" s="23">
        <v>6.834587</v>
      </c>
      <c r="AI107" s="13"/>
      <c r="AJ107" s="13">
        <f t="shared" si="21"/>
        <v>1.6009259259259261E-2</v>
      </c>
      <c r="AK107" s="37">
        <f t="shared" si="22"/>
        <v>7.579999890938988E-3</v>
      </c>
    </row>
    <row r="108" spans="3:37" ht="44.45" customHeight="1" x14ac:dyDescent="0.25">
      <c r="C108" s="25"/>
      <c r="D108" s="23" t="s">
        <v>178</v>
      </c>
      <c r="E108" s="23" t="s">
        <v>179</v>
      </c>
      <c r="F108" s="23">
        <v>0.5</v>
      </c>
      <c r="G108" s="23"/>
      <c r="H108" s="23"/>
      <c r="I108" s="23"/>
      <c r="J108" s="23"/>
      <c r="K108" s="23"/>
      <c r="L108" s="23"/>
      <c r="M108" s="23">
        <v>0.1</v>
      </c>
      <c r="N108" s="23"/>
      <c r="O108" s="23"/>
      <c r="P108" s="23"/>
      <c r="Q108" s="23"/>
      <c r="R108" s="23"/>
      <c r="S108" s="23"/>
      <c r="T108" s="23"/>
      <c r="U108" s="23"/>
      <c r="V108" s="23"/>
      <c r="W108" s="23">
        <v>2</v>
      </c>
      <c r="X108" s="23">
        <v>2</v>
      </c>
      <c r="Y108" s="23"/>
      <c r="Z108" s="23">
        <v>2</v>
      </c>
      <c r="AA108" s="23"/>
      <c r="AB108" s="23"/>
      <c r="AC108" s="23"/>
      <c r="AD108" s="23"/>
      <c r="AE108" s="23"/>
      <c r="AF108" s="23"/>
      <c r="AG108" s="23">
        <v>-73.060348000000005</v>
      </c>
      <c r="AH108" s="23">
        <v>6.8351389999999999</v>
      </c>
      <c r="AI108" s="13"/>
      <c r="AJ108" s="13">
        <f t="shared" si="21"/>
        <v>1.6209259259259264E-2</v>
      </c>
      <c r="AK108" s="37">
        <f t="shared" si="22"/>
        <v>7.6746950891138201E-3</v>
      </c>
    </row>
    <row r="109" spans="3:37" ht="44.45" customHeight="1" x14ac:dyDescent="0.25">
      <c r="C109" s="25"/>
      <c r="D109" s="23" t="s">
        <v>180</v>
      </c>
      <c r="E109" s="23" t="s">
        <v>181</v>
      </c>
      <c r="F109" s="23">
        <v>0.5</v>
      </c>
      <c r="G109" s="23"/>
      <c r="H109" s="23"/>
      <c r="I109" s="23"/>
      <c r="J109" s="23"/>
      <c r="K109" s="23"/>
      <c r="L109" s="23"/>
      <c r="M109" s="23"/>
      <c r="N109" s="23"/>
      <c r="O109" s="23">
        <v>0.1</v>
      </c>
      <c r="P109" s="23"/>
      <c r="Q109" s="23"/>
      <c r="R109" s="23"/>
      <c r="S109" s="23"/>
      <c r="T109" s="23"/>
      <c r="U109" s="23"/>
      <c r="V109" s="23"/>
      <c r="W109" s="23">
        <v>2</v>
      </c>
      <c r="X109" s="23">
        <v>3</v>
      </c>
      <c r="Y109" s="23"/>
      <c r="Z109" s="23"/>
      <c r="AA109" s="23"/>
      <c r="AB109" s="23"/>
      <c r="AC109" s="23"/>
      <c r="AD109" s="23"/>
      <c r="AE109" s="23"/>
      <c r="AF109" s="23"/>
      <c r="AG109" s="23">
        <v>-73.059410999999997</v>
      </c>
      <c r="AH109" s="23">
        <v>6.8331520000000001</v>
      </c>
      <c r="AI109" s="13"/>
      <c r="AJ109" s="13">
        <f t="shared" si="21"/>
        <v>1.6009259259259261E-2</v>
      </c>
      <c r="AK109" s="37">
        <f t="shared" si="22"/>
        <v>7.579999890938988E-3</v>
      </c>
    </row>
    <row r="110" spans="3:37" ht="44.45" customHeight="1" x14ac:dyDescent="0.2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49" t="s">
        <v>323</v>
      </c>
      <c r="AJ110" s="49">
        <f>SUM(AJ105:AJ109)</f>
        <v>0.10309259259259261</v>
      </c>
      <c r="AK110" s="51">
        <f>SUM(AK105:AK109)</f>
        <v>4.8811867429563151E-2</v>
      </c>
    </row>
    <row r="111" spans="3:37" ht="44.45" customHeight="1" x14ac:dyDescent="0.25">
      <c r="AI111" s="39">
        <v>3.6331946192001725</v>
      </c>
      <c r="AJ111" s="20"/>
    </row>
    <row r="112" spans="3:37" ht="44.45" customHeight="1" x14ac:dyDescent="0.25">
      <c r="C112" s="140" t="s">
        <v>182</v>
      </c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7"/>
      <c r="AH112" s="17"/>
      <c r="AI112" s="7"/>
      <c r="AJ112" s="23"/>
      <c r="AK112" s="4"/>
    </row>
    <row r="113" spans="3:37" ht="44.45" customHeight="1" x14ac:dyDescent="0.25">
      <c r="C113" s="23"/>
      <c r="D113" s="23" t="s">
        <v>183</v>
      </c>
      <c r="E113" s="23" t="s">
        <v>25</v>
      </c>
      <c r="F113" s="23">
        <v>0.25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4">
        <v>2</v>
      </c>
      <c r="X113" s="24">
        <v>2</v>
      </c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13"/>
      <c r="AJ113" s="13">
        <f t="shared" ref="AJ113:AJ118" si="23">($H113*0.0001)+(0.1*$I113)+($J113*0.1)+($K113*0.1)+($L113*0.1)+($M113*0.1)+($N113*0.1)+($O113*0.1)+($P113*0.1)+($V113*0.1)+($W113*(130/(3600*24)))+($X113*0.001)+($Z113*0.0006)+($AA113*0.002)+($AB113*0.0002)+($AE113*0.000004)+($AF113*0.0004)+($Q113*0.1)+($R113*0.1)+($S113*0.1)+($T113*0.1)+($U113*0.1)+($AC113*3.47222222222222E-09)+($AD113*1.15740740740741E-09)</f>
        <v>5.0092592592592593E-3</v>
      </c>
      <c r="AK113" s="43">
        <f>AJ113/$AI$111</f>
        <v>1.3787478470839581E-3</v>
      </c>
    </row>
    <row r="114" spans="3:37" ht="44.45" customHeight="1" x14ac:dyDescent="0.25">
      <c r="C114" s="23"/>
      <c r="D114" s="23" t="s">
        <v>184</v>
      </c>
      <c r="E114" s="23" t="s">
        <v>185</v>
      </c>
      <c r="F114" s="23">
        <v>0.25</v>
      </c>
      <c r="G114" s="23"/>
      <c r="H114" s="23"/>
      <c r="I114" s="23"/>
      <c r="J114" s="23"/>
      <c r="K114" s="23"/>
      <c r="L114" s="23">
        <v>0.01</v>
      </c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4">
        <v>5</v>
      </c>
      <c r="X114" s="24">
        <v>3</v>
      </c>
      <c r="Y114" s="23"/>
      <c r="Z114" s="23"/>
      <c r="AA114" s="23"/>
      <c r="AB114" s="23"/>
      <c r="AC114" s="23">
        <v>1</v>
      </c>
      <c r="AD114" s="23">
        <v>2</v>
      </c>
      <c r="AE114" s="23">
        <v>1010</v>
      </c>
      <c r="AF114" s="23"/>
      <c r="AG114" s="23"/>
      <c r="AH114" s="23"/>
      <c r="AI114" s="13"/>
      <c r="AJ114" s="13">
        <f t="shared" si="23"/>
        <v>1.5563153935185184E-2</v>
      </c>
      <c r="AK114" s="43">
        <f t="shared" ref="AK114:AK118" si="24">AJ114/$AI$111</f>
        <v>4.2836004030555692E-3</v>
      </c>
    </row>
    <row r="115" spans="3:37" ht="44.45" customHeight="1" x14ac:dyDescent="0.25">
      <c r="C115" s="25"/>
      <c r="D115" s="23" t="s">
        <v>186</v>
      </c>
      <c r="E115" s="23" t="s">
        <v>187</v>
      </c>
      <c r="F115" s="23">
        <v>0.25</v>
      </c>
      <c r="G115" s="23"/>
      <c r="H115" s="23"/>
      <c r="I115" s="23"/>
      <c r="J115" s="23"/>
      <c r="K115" s="23"/>
      <c r="L115" s="23">
        <v>0.1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4">
        <v>4</v>
      </c>
      <c r="X115" s="24">
        <v>5</v>
      </c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13"/>
      <c r="AJ115" s="13">
        <f t="shared" si="23"/>
        <v>2.1018518518518523E-2</v>
      </c>
      <c r="AK115" s="43">
        <f t="shared" si="24"/>
        <v>5.7851342197423033E-3</v>
      </c>
    </row>
    <row r="116" spans="3:37" ht="44.45" customHeight="1" x14ac:dyDescent="0.25">
      <c r="C116" s="25"/>
      <c r="D116" s="23" t="s">
        <v>188</v>
      </c>
      <c r="E116" s="23" t="s">
        <v>189</v>
      </c>
      <c r="F116" s="23">
        <v>0.25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4">
        <v>6</v>
      </c>
      <c r="X116" s="24">
        <v>5</v>
      </c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13"/>
      <c r="AJ116" s="13">
        <f t="shared" si="23"/>
        <v>1.4027777777777778E-2</v>
      </c>
      <c r="AK116" s="43">
        <f t="shared" si="24"/>
        <v>3.861003675290567E-3</v>
      </c>
    </row>
    <row r="117" spans="3:37" ht="44.45" customHeight="1" x14ac:dyDescent="0.25">
      <c r="C117" s="25"/>
      <c r="D117" s="23" t="s">
        <v>190</v>
      </c>
      <c r="E117" s="23" t="s">
        <v>191</v>
      </c>
      <c r="F117" s="23">
        <v>0.24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4">
        <v>3</v>
      </c>
      <c r="X117" s="24">
        <v>12</v>
      </c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13"/>
      <c r="AJ117" s="13">
        <f t="shared" si="23"/>
        <v>1.651388888888889E-2</v>
      </c>
      <c r="AK117" s="43">
        <f t="shared" si="24"/>
        <v>4.5452805642777075E-3</v>
      </c>
    </row>
    <row r="118" spans="3:37" ht="44.45" customHeight="1" x14ac:dyDescent="0.25">
      <c r="C118" s="25"/>
      <c r="D118" s="23" t="s">
        <v>194</v>
      </c>
      <c r="E118" s="23" t="s">
        <v>195</v>
      </c>
      <c r="F118" s="23">
        <v>5.4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3">
        <v>0.5</v>
      </c>
      <c r="Q118" s="25"/>
      <c r="R118" s="25"/>
      <c r="S118" s="25"/>
      <c r="T118" s="25"/>
      <c r="U118" s="25"/>
      <c r="V118" s="25"/>
      <c r="W118" s="24">
        <v>10</v>
      </c>
      <c r="X118" s="24">
        <v>6</v>
      </c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13"/>
      <c r="AJ118" s="13">
        <f t="shared" si="23"/>
        <v>7.1046296296296302E-2</v>
      </c>
      <c r="AK118" s="43">
        <f t="shared" si="24"/>
        <v>1.9554773069639948E-2</v>
      </c>
    </row>
    <row r="119" spans="3:37" ht="44.45" customHeight="1" x14ac:dyDescent="0.25">
      <c r="D119" s="20"/>
      <c r="E119" s="20"/>
      <c r="F119" s="20"/>
      <c r="P119" s="20"/>
      <c r="W119" s="53"/>
      <c r="X119" s="53"/>
      <c r="AI119" s="49" t="s">
        <v>323</v>
      </c>
      <c r="AJ119" s="49">
        <f>SUM(AJ113:AJ118)</f>
        <v>0.14317889467592593</v>
      </c>
      <c r="AK119" s="51">
        <f>SUM(AK113:AK118)</f>
        <v>3.9408539779090049E-2</v>
      </c>
    </row>
    <row r="120" spans="3:37" ht="44.45" customHeight="1" x14ac:dyDescent="0.25">
      <c r="AI120" s="39">
        <v>2.4671044856960265</v>
      </c>
      <c r="AJ120" s="20"/>
    </row>
    <row r="121" spans="3:37" ht="44.45" customHeight="1" x14ac:dyDescent="0.25">
      <c r="C121" s="140" t="s">
        <v>196</v>
      </c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7"/>
      <c r="AH121" s="17"/>
      <c r="AI121" s="7"/>
      <c r="AJ121" s="23"/>
      <c r="AK121" s="4"/>
    </row>
    <row r="122" spans="3:37" ht="44.45" customHeight="1" x14ac:dyDescent="0.25">
      <c r="C122" s="23"/>
      <c r="D122" s="23" t="s">
        <v>197</v>
      </c>
      <c r="E122" s="23" t="s">
        <v>198</v>
      </c>
      <c r="F122" s="23">
        <v>0.25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>
        <v>2</v>
      </c>
      <c r="X122" s="23">
        <v>8</v>
      </c>
      <c r="Y122" s="23"/>
      <c r="Z122" s="23"/>
      <c r="AA122" s="23"/>
      <c r="AB122" s="23"/>
      <c r="AC122" s="23"/>
      <c r="AD122" s="23"/>
      <c r="AE122" s="23"/>
      <c r="AF122" s="23"/>
      <c r="AG122" s="23">
        <v>-73.058063000000004</v>
      </c>
      <c r="AH122" s="23">
        <v>6.8353460000000004</v>
      </c>
      <c r="AI122" s="13"/>
      <c r="AJ122" s="13">
        <f t="shared" ref="AJ122:AJ125" si="25">($H122*0.0001)+(0.1*$I122)+($J122*0.1)+($K122*0.1)+($L122*0.1)+($M122*0.1)+($N122*0.1)+($O122*0.1)+($P122*0.1)+($V122*0.1)+($W122*(130/(3600*24)))+($X122*0.001)+($Z122*0.0006)+($AA122*0.002)+($AB122*0.0002)+($AE122*0.000004)+($AF122*0.0004)+($Q122*0.1)+($R122*0.1)+($S122*0.1)+($T122*0.1)+($U122*0.1)+($AC122*3.47222222222222E-09)+($AD122*1.15740740740741E-09)</f>
        <v>1.100925925925926E-2</v>
      </c>
      <c r="AK122" s="38">
        <f>AJ122/$AI$120</f>
        <v>4.4624211593346022E-3</v>
      </c>
    </row>
    <row r="123" spans="3:37" ht="44.45" customHeight="1" x14ac:dyDescent="0.25">
      <c r="C123" s="23"/>
      <c r="D123" s="23" t="s">
        <v>199</v>
      </c>
      <c r="E123" s="23" t="s">
        <v>200</v>
      </c>
      <c r="F123" s="23">
        <v>0.31119999999999998</v>
      </c>
      <c r="G123" s="23"/>
      <c r="H123" s="23"/>
      <c r="I123" s="23"/>
      <c r="J123" s="23"/>
      <c r="K123" s="23"/>
      <c r="L123" s="23"/>
      <c r="M123" s="23">
        <v>0.2</v>
      </c>
      <c r="N123" s="23"/>
      <c r="O123" s="23"/>
      <c r="P123" s="23"/>
      <c r="Q123" s="23"/>
      <c r="R123" s="23"/>
      <c r="S123" s="23"/>
      <c r="T123" s="23"/>
      <c r="U123" s="23"/>
      <c r="V123" s="23"/>
      <c r="W123" s="23">
        <v>2</v>
      </c>
      <c r="X123" s="23">
        <v>6</v>
      </c>
      <c r="Y123" s="23"/>
      <c r="Z123" s="23"/>
      <c r="AA123" s="23"/>
      <c r="AB123" s="23"/>
      <c r="AC123" s="23"/>
      <c r="AD123" s="23"/>
      <c r="AE123" s="23"/>
      <c r="AF123" s="23"/>
      <c r="AG123" s="23">
        <v>-73.057558999999998</v>
      </c>
      <c r="AH123" s="23">
        <v>6.8349440000000001</v>
      </c>
      <c r="AI123" s="13"/>
      <c r="AJ123" s="13">
        <f t="shared" si="25"/>
        <v>2.9009259259259262E-2</v>
      </c>
      <c r="AK123" s="38">
        <f t="shared" ref="AK123:AK125" si="26">AJ123/$AI$120</f>
        <v>1.1758423458532641E-2</v>
      </c>
    </row>
    <row r="124" spans="3:37" ht="44.45" customHeight="1" x14ac:dyDescent="0.25">
      <c r="C124" s="25"/>
      <c r="D124" s="23" t="s">
        <v>201</v>
      </c>
      <c r="E124" s="23" t="s">
        <v>202</v>
      </c>
      <c r="F124" s="23">
        <v>0.28999999999999998</v>
      </c>
      <c r="G124" s="23"/>
      <c r="H124" s="23"/>
      <c r="I124" s="23"/>
      <c r="J124" s="23"/>
      <c r="K124" s="23"/>
      <c r="L124" s="23"/>
      <c r="M124" s="23">
        <v>0.1</v>
      </c>
      <c r="N124" s="23"/>
      <c r="O124" s="23"/>
      <c r="P124" s="23"/>
      <c r="Q124" s="23"/>
      <c r="R124" s="23"/>
      <c r="S124" s="23"/>
      <c r="T124" s="23"/>
      <c r="U124" s="23"/>
      <c r="V124" s="23"/>
      <c r="W124" s="23">
        <v>4</v>
      </c>
      <c r="X124" s="23">
        <v>4</v>
      </c>
      <c r="Y124" s="23"/>
      <c r="Z124" s="23"/>
      <c r="AA124" s="23"/>
      <c r="AB124" s="23"/>
      <c r="AC124" s="23"/>
      <c r="AD124" s="23"/>
      <c r="AE124" s="23"/>
      <c r="AF124" s="23"/>
      <c r="AG124" s="23">
        <v>-73.059451999999993</v>
      </c>
      <c r="AH124" s="23">
        <v>6.8350879999999998</v>
      </c>
      <c r="AI124" s="13"/>
      <c r="AJ124" s="13">
        <f t="shared" si="25"/>
        <v>2.0018518518518522E-2</v>
      </c>
      <c r="AK124" s="38">
        <f t="shared" si="26"/>
        <v>8.1141753965360899E-3</v>
      </c>
    </row>
    <row r="125" spans="3:37" ht="44.45" customHeight="1" x14ac:dyDescent="0.25">
      <c r="C125" s="25"/>
      <c r="D125" s="23" t="s">
        <v>203</v>
      </c>
      <c r="E125" s="23" t="s">
        <v>204</v>
      </c>
      <c r="F125" s="23">
        <v>0.84179999999999999</v>
      </c>
      <c r="G125" s="25"/>
      <c r="H125" s="25"/>
      <c r="I125" s="25"/>
      <c r="J125" s="25"/>
      <c r="K125" s="25"/>
      <c r="L125" s="25"/>
      <c r="M125" s="23">
        <v>0.1</v>
      </c>
      <c r="N125" s="25"/>
      <c r="O125" s="25"/>
      <c r="P125" s="25"/>
      <c r="Q125" s="25"/>
      <c r="R125" s="25"/>
      <c r="S125" s="25"/>
      <c r="T125" s="25"/>
      <c r="U125" s="25"/>
      <c r="V125" s="25"/>
      <c r="W125" s="23">
        <v>1</v>
      </c>
      <c r="X125" s="23">
        <v>4</v>
      </c>
      <c r="Y125" s="25"/>
      <c r="Z125" s="25"/>
      <c r="AA125" s="25"/>
      <c r="AB125" s="25"/>
      <c r="AC125" s="25"/>
      <c r="AD125" s="25"/>
      <c r="AE125" s="25"/>
      <c r="AF125" s="25"/>
      <c r="AG125" s="23">
        <v>-73.057952</v>
      </c>
      <c r="AH125" s="23">
        <v>6.8335780000000002</v>
      </c>
      <c r="AI125" s="13"/>
      <c r="AJ125" s="13">
        <f t="shared" si="25"/>
        <v>1.5504629629629632E-2</v>
      </c>
      <c r="AK125" s="38">
        <f t="shared" si="26"/>
        <v>6.2845451903328778E-3</v>
      </c>
    </row>
    <row r="126" spans="3:37" ht="44.45" customHeight="1" x14ac:dyDescent="0.25">
      <c r="D126" s="20"/>
      <c r="E126" s="20"/>
      <c r="F126" s="20"/>
      <c r="M126" s="20"/>
      <c r="W126" s="20"/>
      <c r="X126" s="20"/>
      <c r="AG126" s="20"/>
      <c r="AH126" s="20"/>
      <c r="AI126" s="49" t="s">
        <v>323</v>
      </c>
      <c r="AJ126" s="49">
        <f>SUM(AJ122:AJ125)</f>
        <v>7.5541666666666674E-2</v>
      </c>
      <c r="AK126" s="50">
        <f>SUM(AK122:AK125)</f>
        <v>3.0619565204736209E-2</v>
      </c>
    </row>
    <row r="127" spans="3:37" ht="44.45" customHeight="1" x14ac:dyDescent="0.25">
      <c r="AI127" s="39">
        <v>2.8773859256672978</v>
      </c>
      <c r="AJ127" s="20"/>
    </row>
    <row r="128" spans="3:37" ht="44.45" customHeight="1" x14ac:dyDescent="0.25">
      <c r="C128" s="140" t="s">
        <v>205</v>
      </c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7"/>
      <c r="AH128" s="17"/>
      <c r="AI128" s="7"/>
      <c r="AJ128" s="23"/>
      <c r="AK128" s="4"/>
    </row>
    <row r="129" spans="3:37" ht="44.45" customHeight="1" x14ac:dyDescent="0.25">
      <c r="C129" s="23"/>
      <c r="D129" s="23" t="s">
        <v>206</v>
      </c>
      <c r="E129" s="23" t="s">
        <v>207</v>
      </c>
      <c r="F129" s="23">
        <v>0.25</v>
      </c>
      <c r="G129" s="23"/>
      <c r="H129" s="23"/>
      <c r="I129" s="23"/>
      <c r="J129" s="23"/>
      <c r="K129" s="23"/>
      <c r="L129" s="23"/>
      <c r="M129" s="23">
        <v>0.2</v>
      </c>
      <c r="N129" s="23"/>
      <c r="O129" s="23"/>
      <c r="P129" s="23"/>
      <c r="Q129" s="23"/>
      <c r="R129" s="23"/>
      <c r="S129" s="23"/>
      <c r="T129" s="23"/>
      <c r="U129" s="23"/>
      <c r="V129" s="23"/>
      <c r="W129" s="23">
        <v>3</v>
      </c>
      <c r="X129" s="23">
        <v>2</v>
      </c>
      <c r="Y129" s="23"/>
      <c r="Z129" s="23"/>
      <c r="AA129" s="23"/>
      <c r="AB129" s="23"/>
      <c r="AC129" s="23"/>
      <c r="AD129" s="23"/>
      <c r="AE129" s="23"/>
      <c r="AF129" s="23"/>
      <c r="AG129" s="23">
        <v>-73.056312000000005</v>
      </c>
      <c r="AH129" s="23">
        <v>6.8333110000000001</v>
      </c>
      <c r="AI129" s="13"/>
      <c r="AJ129" s="13">
        <f t="shared" ref="AJ129:AJ135" si="27">($H129*0.0001)+(0.1*$I129)+($J129*0.1)+($K129*0.1)+($L129*0.1)+($M129*0.1)+($N129*0.1)+($O129*0.1)+($P129*0.1)+($V129*0.1)+($W129*(130/(3600*24)))+($X129*0.001)+($Z129*0.0006)+($AA129*0.002)+($AB129*0.0002)+($AE129*0.000004)+($AF129*0.0004)+($Q129*0.1)+($R129*0.1)+($S129*0.1)+($T129*0.1)+($U129*0.1)+($AC129*3.47222222222222E-09)+($AD129*1.15740740740741E-09)</f>
        <v>2.6513888888888892E-2</v>
      </c>
      <c r="AK129" s="37">
        <f>AJ129/$AI$127</f>
        <v>9.2145751643447089E-3</v>
      </c>
    </row>
    <row r="130" spans="3:37" ht="44.45" customHeight="1" x14ac:dyDescent="0.25">
      <c r="C130" s="23"/>
      <c r="D130" s="23" t="s">
        <v>208</v>
      </c>
      <c r="E130" s="23" t="s">
        <v>209</v>
      </c>
      <c r="F130" s="23">
        <v>0.25</v>
      </c>
      <c r="G130" s="23"/>
      <c r="H130" s="23"/>
      <c r="I130" s="23"/>
      <c r="J130" s="23"/>
      <c r="K130" s="23"/>
      <c r="L130" s="23"/>
      <c r="M130" s="23">
        <v>0.1</v>
      </c>
      <c r="N130" s="23"/>
      <c r="O130" s="23"/>
      <c r="P130" s="23"/>
      <c r="Q130" s="23"/>
      <c r="R130" s="23"/>
      <c r="S130" s="23"/>
      <c r="T130" s="23"/>
      <c r="U130" s="23"/>
      <c r="V130" s="23"/>
      <c r="W130" s="23">
        <v>6</v>
      </c>
      <c r="X130" s="23">
        <v>5</v>
      </c>
      <c r="Y130" s="23"/>
      <c r="Z130" s="23"/>
      <c r="AA130" s="23"/>
      <c r="AB130" s="23"/>
      <c r="AC130" s="23"/>
      <c r="AD130" s="23"/>
      <c r="AE130" s="23"/>
      <c r="AF130" s="23"/>
      <c r="AG130" s="23">
        <v>-73.056066000000001</v>
      </c>
      <c r="AH130" s="23">
        <v>6.8330590000000004</v>
      </c>
      <c r="AI130" s="13"/>
      <c r="AJ130" s="13">
        <f t="shared" si="27"/>
        <v>2.402777777777778E-2</v>
      </c>
      <c r="AK130" s="37">
        <f t="shared" ref="AK130:AK135" si="28">AJ130/$AI$127</f>
        <v>8.3505579016848325E-3</v>
      </c>
    </row>
    <row r="131" spans="3:37" ht="44.45" customHeight="1" x14ac:dyDescent="0.25">
      <c r="C131" s="23"/>
      <c r="D131" s="23" t="s">
        <v>210</v>
      </c>
      <c r="E131" s="23" t="s">
        <v>211</v>
      </c>
      <c r="F131" s="23">
        <v>0.25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>
        <v>0.5</v>
      </c>
      <c r="Q131" s="23"/>
      <c r="R131" s="23"/>
      <c r="S131" s="23"/>
      <c r="T131" s="23"/>
      <c r="U131" s="23"/>
      <c r="V131" s="23"/>
      <c r="W131" s="23">
        <v>4</v>
      </c>
      <c r="X131" s="23">
        <v>2</v>
      </c>
      <c r="Y131" s="23"/>
      <c r="Z131" s="23"/>
      <c r="AA131" s="23"/>
      <c r="AB131" s="23"/>
      <c r="AC131" s="23"/>
      <c r="AD131" s="23"/>
      <c r="AE131" s="23"/>
      <c r="AF131" s="23"/>
      <c r="AG131" s="23">
        <v>-73.055211</v>
      </c>
      <c r="AH131" s="23">
        <v>6.834193</v>
      </c>
      <c r="AI131" s="13"/>
      <c r="AJ131" s="13">
        <f t="shared" si="27"/>
        <v>5.8018518518518525E-2</v>
      </c>
      <c r="AK131" s="43">
        <f t="shared" si="28"/>
        <v>2.0163620736785032E-2</v>
      </c>
    </row>
    <row r="132" spans="3:37" ht="44.45" customHeight="1" x14ac:dyDescent="0.25">
      <c r="C132" s="23"/>
      <c r="D132" s="23" t="s">
        <v>212</v>
      </c>
      <c r="E132" s="23" t="s">
        <v>213</v>
      </c>
      <c r="F132" s="23">
        <v>0.35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>
        <v>0.1</v>
      </c>
      <c r="Q132" s="23"/>
      <c r="R132" s="23"/>
      <c r="S132" s="23"/>
      <c r="T132" s="23"/>
      <c r="U132" s="23"/>
      <c r="V132" s="23"/>
      <c r="W132" s="23">
        <v>2</v>
      </c>
      <c r="X132" s="23">
        <v>3</v>
      </c>
      <c r="Y132" s="23"/>
      <c r="Z132" s="23"/>
      <c r="AA132" s="23"/>
      <c r="AB132" s="23"/>
      <c r="AC132" s="23"/>
      <c r="AD132" s="23"/>
      <c r="AE132" s="23"/>
      <c r="AF132" s="23"/>
      <c r="AG132" s="23">
        <v>-73.055137999999999</v>
      </c>
      <c r="AH132" s="23">
        <v>6.8354759999999999</v>
      </c>
      <c r="AI132" s="13"/>
      <c r="AJ132" s="13">
        <f t="shared" si="27"/>
        <v>1.6009259259259261E-2</v>
      </c>
      <c r="AK132" s="43">
        <f t="shared" si="28"/>
        <v>5.5638206597352895E-3</v>
      </c>
    </row>
    <row r="133" spans="3:37" ht="44.45" customHeight="1" x14ac:dyDescent="0.25">
      <c r="C133" s="23"/>
      <c r="D133" s="23" t="s">
        <v>214</v>
      </c>
      <c r="E133" s="23" t="s">
        <v>215</v>
      </c>
      <c r="F133" s="23">
        <v>12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>
        <v>15</v>
      </c>
      <c r="X133" s="23">
        <v>22</v>
      </c>
      <c r="Y133" s="23"/>
      <c r="Z133" s="23"/>
      <c r="AA133" s="23"/>
      <c r="AB133" s="23"/>
      <c r="AC133" s="23"/>
      <c r="AD133" s="23"/>
      <c r="AE133" s="23"/>
      <c r="AF133" s="23"/>
      <c r="AG133" s="23">
        <v>-73.116039999999998</v>
      </c>
      <c r="AH133" s="23">
        <v>7.1107009999999997</v>
      </c>
      <c r="AI133" s="13"/>
      <c r="AJ133" s="13">
        <f t="shared" si="27"/>
        <v>4.4569444444444439E-2</v>
      </c>
      <c r="AK133" s="43">
        <f t="shared" si="28"/>
        <v>1.5489560870813077E-2</v>
      </c>
    </row>
    <row r="134" spans="3:37" ht="44.45" customHeight="1" x14ac:dyDescent="0.25">
      <c r="C134" s="23"/>
      <c r="D134" s="23" t="s">
        <v>216</v>
      </c>
      <c r="E134" s="23" t="s">
        <v>59</v>
      </c>
      <c r="F134" s="23">
        <v>40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>
        <v>1</v>
      </c>
      <c r="X134" s="23">
        <v>2</v>
      </c>
      <c r="Y134" s="23"/>
      <c r="Z134" s="23"/>
      <c r="AA134" s="23"/>
      <c r="AB134" s="23"/>
      <c r="AC134" s="23"/>
      <c r="AD134" s="23"/>
      <c r="AE134" s="23"/>
      <c r="AF134" s="23"/>
      <c r="AG134" s="23">
        <v>-73.045485999999997</v>
      </c>
      <c r="AH134" s="23">
        <v>6.8353489999999999</v>
      </c>
      <c r="AI134" s="13"/>
      <c r="AJ134" s="13">
        <f t="shared" si="27"/>
        <v>3.5046296296296297E-3</v>
      </c>
      <c r="AK134" s="43">
        <f t="shared" si="28"/>
        <v>1.2179908153324504E-3</v>
      </c>
    </row>
    <row r="135" spans="3:37" ht="44.45" customHeight="1" x14ac:dyDescent="0.25">
      <c r="C135" s="23"/>
      <c r="D135" s="23" t="s">
        <v>217</v>
      </c>
      <c r="E135" s="23" t="s">
        <v>218</v>
      </c>
      <c r="F135" s="23">
        <v>40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>
        <v>3</v>
      </c>
      <c r="X135" s="23"/>
      <c r="Y135" s="23"/>
      <c r="Z135" s="23">
        <v>4</v>
      </c>
      <c r="AA135" s="23"/>
      <c r="AB135" s="23"/>
      <c r="AC135" s="23"/>
      <c r="AD135" s="23"/>
      <c r="AE135" s="23"/>
      <c r="AF135" s="23"/>
      <c r="AG135" s="23">
        <v>-73.043755000000004</v>
      </c>
      <c r="AH135" s="23">
        <v>6.8365859999999996</v>
      </c>
      <c r="AI135" s="13"/>
      <c r="AJ135" s="13">
        <f t="shared" si="27"/>
        <v>6.9138888888888878E-3</v>
      </c>
      <c r="AK135" s="43">
        <f t="shared" si="28"/>
        <v>2.4028368343691959E-3</v>
      </c>
    </row>
    <row r="136" spans="3:37" ht="44.45" customHeight="1" x14ac:dyDescent="0.25">
      <c r="AI136" s="23" t="s">
        <v>323</v>
      </c>
      <c r="AJ136" s="64">
        <f>SUM(AJ129:AJ135)</f>
        <v>0.17955740740740742</v>
      </c>
      <c r="AK136" s="38">
        <f>SUM(AK129:AK135)</f>
        <v>6.240296298306458E-2</v>
      </c>
    </row>
    <row r="137" spans="3:37" ht="44.45" customHeight="1" x14ac:dyDescent="0.25">
      <c r="C137" s="137" t="s">
        <v>219</v>
      </c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8"/>
      <c r="AH137" s="139"/>
      <c r="AI137" s="55">
        <v>1.2690639750626387</v>
      </c>
      <c r="AJ137" s="48"/>
      <c r="AK137" s="56"/>
    </row>
    <row r="138" spans="3:37" ht="44.45" customHeight="1" x14ac:dyDescent="0.25">
      <c r="C138" s="140" t="s">
        <v>220</v>
      </c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7"/>
      <c r="AH138" s="17"/>
      <c r="AI138" s="7"/>
      <c r="AJ138" s="8"/>
      <c r="AK138" s="4"/>
    </row>
    <row r="139" spans="3:37" ht="44.45" customHeight="1" x14ac:dyDescent="0.25">
      <c r="C139" s="25"/>
      <c r="D139" s="23" t="s">
        <v>221</v>
      </c>
      <c r="E139" s="23" t="s">
        <v>222</v>
      </c>
      <c r="F139" s="23">
        <v>56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>
        <v>4</v>
      </c>
      <c r="X139" s="25"/>
      <c r="Y139" s="25"/>
      <c r="Z139" s="25"/>
      <c r="AA139" s="25"/>
      <c r="AB139" s="25"/>
      <c r="AC139" s="25"/>
      <c r="AD139" s="25"/>
      <c r="AE139" s="25"/>
      <c r="AF139" s="25"/>
      <c r="AG139" s="23">
        <v>-73.058948999999998</v>
      </c>
      <c r="AH139" s="23">
        <v>6.8236359999999996</v>
      </c>
      <c r="AI139" s="13"/>
      <c r="AJ139" s="13">
        <f t="shared" ref="AJ139" si="29">($H139*0.0001)+(0.1*$I139)+($J139*0.1)+($K139*0.1)+($L139*0.1)+($M139*0.1)+($N139*0.1)+($O139*0.1)+($P139*0.1)+($V139*0.1)+($W139*(130/(3600*24)))+($X139*0.001)+($Z139*0.0006)+($AA139*0.002)+($AB139*0.0002)+($AE139*0.000004)+($AF139*0.0004)+($Q139*0.1)+($R139*0.1)+($S139*0.1)+($T139*0.1)+($U139*0.1)+($AC139*3.47222222222222E-09)+($AD139*1.15740740740741E-09)</f>
        <v>6.0185185185185185E-3</v>
      </c>
      <c r="AK139" s="38">
        <f>AJ139/$AI$137</f>
        <v>4.7424863023327532E-3</v>
      </c>
    </row>
    <row r="140" spans="3:37" ht="44.45" customHeight="1" x14ac:dyDescent="0.25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AG140" s="20"/>
      <c r="AH140" s="20"/>
      <c r="AI140" s="49" t="s">
        <v>323</v>
      </c>
      <c r="AJ140" s="49">
        <f>AJ139</f>
        <v>6.0185185185185185E-3</v>
      </c>
      <c r="AK140" s="63">
        <f>AK139</f>
        <v>4.7424863023327532E-3</v>
      </c>
    </row>
    <row r="141" spans="3:37" ht="44.45" customHeight="1" x14ac:dyDescent="0.25">
      <c r="AI141" s="35">
        <v>2.6111676909851731</v>
      </c>
    </row>
    <row r="142" spans="3:37" ht="44.45" customHeight="1" x14ac:dyDescent="0.25">
      <c r="C142" s="140" t="s">
        <v>223</v>
      </c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7"/>
      <c r="AH142" s="17"/>
      <c r="AI142" s="7"/>
      <c r="AJ142" s="8"/>
      <c r="AK142" s="4"/>
    </row>
    <row r="143" spans="3:37" ht="44.45" customHeight="1" x14ac:dyDescent="0.25">
      <c r="C143" s="23"/>
      <c r="D143" s="23" t="s">
        <v>221</v>
      </c>
      <c r="E143" s="23" t="s">
        <v>222</v>
      </c>
      <c r="F143" s="23">
        <v>56</v>
      </c>
      <c r="G143" s="23"/>
      <c r="H143" s="23"/>
      <c r="I143" s="23"/>
      <c r="J143" s="23"/>
      <c r="K143" s="23"/>
      <c r="L143" s="23">
        <v>4</v>
      </c>
      <c r="M143" s="23"/>
      <c r="N143" s="23"/>
      <c r="O143" s="23"/>
      <c r="P143" s="23">
        <v>0.3</v>
      </c>
      <c r="Q143" s="23"/>
      <c r="R143" s="23"/>
      <c r="S143" s="23"/>
      <c r="T143" s="23"/>
      <c r="U143" s="23"/>
      <c r="V143" s="23"/>
      <c r="W143" s="23">
        <v>11</v>
      </c>
      <c r="X143" s="23"/>
      <c r="Y143" s="23"/>
      <c r="Z143" s="23"/>
      <c r="AA143" s="23"/>
      <c r="AB143" s="23"/>
      <c r="AC143" s="23"/>
      <c r="AD143" s="23"/>
      <c r="AE143" s="23">
        <v>6</v>
      </c>
      <c r="AF143" s="23"/>
      <c r="AG143" s="23">
        <v>-73.061267999999998</v>
      </c>
      <c r="AH143" s="23">
        <v>6.8249230000000001</v>
      </c>
      <c r="AI143" s="13"/>
      <c r="AJ143" s="13">
        <f t="shared" ref="AJ143:AJ145" si="30">($H143*0.0001)+(0.1*$I143)+($J143*0.1)+($K143*0.1)+($L143*0.1)+($M143*0.1)+($N143*0.1)+($O143*0.1)+($P143*0.1)+($V143*0.1)+($W143*(130/(3600*24)))+($X143*0.001)+($Z143*0.0006)+($AA143*0.002)+($AB143*0.0002)+($AE143*0.000004)+($AF143*0.0004)+($Q143*0.1)+($R143*0.1)+($S143*0.1)+($T143*0.1)+($U143*0.1)+($AC143*3.47222222222222E-09)+($AD143*1.15740740740741E-09)</f>
        <v>0.44657492592592601</v>
      </c>
      <c r="AK143" s="43">
        <f>AJ143/$AI$141</f>
        <v>0.17102498911413722</v>
      </c>
    </row>
    <row r="144" spans="3:37" ht="44.45" customHeight="1" x14ac:dyDescent="0.25">
      <c r="C144" s="23"/>
      <c r="D144" s="23" t="s">
        <v>224</v>
      </c>
      <c r="E144" s="23" t="s">
        <v>225</v>
      </c>
      <c r="F144" s="23">
        <v>0.5</v>
      </c>
      <c r="G144" s="23"/>
      <c r="H144" s="23"/>
      <c r="I144" s="23"/>
      <c r="J144" s="23"/>
      <c r="K144" s="23"/>
      <c r="L144" s="23"/>
      <c r="M144" s="23">
        <v>1</v>
      </c>
      <c r="N144" s="23"/>
      <c r="O144" s="23"/>
      <c r="P144" s="23"/>
      <c r="Q144" s="23"/>
      <c r="R144" s="23"/>
      <c r="S144" s="23"/>
      <c r="T144" s="23"/>
      <c r="U144" s="23"/>
      <c r="V144" s="23"/>
      <c r="W144" s="23">
        <v>15</v>
      </c>
      <c r="X144" s="23">
        <v>20</v>
      </c>
      <c r="Y144" s="23"/>
      <c r="Z144" s="23"/>
      <c r="AA144" s="23"/>
      <c r="AB144" s="23"/>
      <c r="AC144" s="23"/>
      <c r="AD144" s="23"/>
      <c r="AE144" s="23"/>
      <c r="AF144" s="23"/>
      <c r="AG144" s="23">
        <v>-73.053757000000004</v>
      </c>
      <c r="AH144" s="23">
        <v>6.8238310000000002</v>
      </c>
      <c r="AI144" s="23"/>
      <c r="AJ144" s="13">
        <f t="shared" si="30"/>
        <v>0.14256944444444444</v>
      </c>
      <c r="AK144" s="43">
        <f t="shared" ref="AK144:AK145" si="31">AJ144/$AI$141</f>
        <v>5.4599880711090641E-2</v>
      </c>
    </row>
    <row r="145" spans="3:37" ht="44.45" customHeight="1" x14ac:dyDescent="0.25">
      <c r="C145" s="23"/>
      <c r="D145" s="23" t="s">
        <v>226</v>
      </c>
      <c r="E145" s="23" t="s">
        <v>227</v>
      </c>
      <c r="F145" s="23">
        <v>13</v>
      </c>
      <c r="G145" s="23"/>
      <c r="H145" s="23"/>
      <c r="I145" s="23"/>
      <c r="J145" s="23"/>
      <c r="K145" s="23"/>
      <c r="L145" s="23"/>
      <c r="M145" s="23"/>
      <c r="N145" s="23"/>
      <c r="O145" s="23"/>
      <c r="P145" s="23">
        <v>6</v>
      </c>
      <c r="Q145" s="23"/>
      <c r="R145" s="23"/>
      <c r="S145" s="23"/>
      <c r="T145" s="23"/>
      <c r="U145" s="23"/>
      <c r="V145" s="23"/>
      <c r="W145" s="23">
        <v>3</v>
      </c>
      <c r="X145" s="23">
        <v>2</v>
      </c>
      <c r="Y145" s="23"/>
      <c r="Z145" s="23"/>
      <c r="AA145" s="23"/>
      <c r="AB145" s="23"/>
      <c r="AC145" s="23"/>
      <c r="AD145" s="23"/>
      <c r="AE145" s="23"/>
      <c r="AF145" s="23"/>
      <c r="AG145" s="23">
        <v>-73.057770000000005</v>
      </c>
      <c r="AH145" s="23">
        <v>6.8225920000000002</v>
      </c>
      <c r="AI145" s="23"/>
      <c r="AJ145" s="13">
        <f t="shared" si="30"/>
        <v>0.60651388888888902</v>
      </c>
      <c r="AK145" s="43">
        <f t="shared" si="31"/>
        <v>0.23227688171189653</v>
      </c>
    </row>
    <row r="146" spans="3:37" ht="44.45" customHeight="1" x14ac:dyDescent="0.25">
      <c r="AI146" s="60" t="s">
        <v>323</v>
      </c>
      <c r="AJ146" s="67">
        <f>SUM(AJ143:AJ145)</f>
        <v>1.1956582592592595</v>
      </c>
      <c r="AK146" s="68">
        <f>SUM(AK143:AK145)</f>
        <v>0.45790175153712442</v>
      </c>
    </row>
    <row r="147" spans="3:37" ht="44.45" customHeight="1" x14ac:dyDescent="0.25">
      <c r="C147" s="141" t="s">
        <v>228</v>
      </c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2"/>
      <c r="AH147" s="142"/>
      <c r="AI147" s="40">
        <v>3.1908129206577587</v>
      </c>
    </row>
    <row r="148" spans="3:37" ht="44.45" customHeight="1" x14ac:dyDescent="0.25">
      <c r="C148" s="116" t="s">
        <v>229</v>
      </c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7"/>
      <c r="AH148" s="17"/>
      <c r="AI148" s="7"/>
      <c r="AJ148" s="23"/>
      <c r="AK148" s="23"/>
    </row>
    <row r="149" spans="3:37" ht="44.45" customHeight="1" x14ac:dyDescent="0.25">
      <c r="C149" s="23"/>
      <c r="D149" s="23" t="s">
        <v>230</v>
      </c>
      <c r="E149" s="23" t="s">
        <v>231</v>
      </c>
      <c r="F149" s="23">
        <v>1.5</v>
      </c>
      <c r="G149" s="23"/>
      <c r="H149" s="23"/>
      <c r="I149" s="23"/>
      <c r="J149" s="23"/>
      <c r="K149" s="23"/>
      <c r="L149" s="23">
        <v>1</v>
      </c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>
        <v>4</v>
      </c>
      <c r="X149" s="23">
        <v>5</v>
      </c>
      <c r="Y149" s="23"/>
      <c r="Z149" s="23"/>
      <c r="AA149" s="23"/>
      <c r="AB149" s="23"/>
      <c r="AC149" s="23"/>
      <c r="AD149" s="23"/>
      <c r="AE149" s="23"/>
      <c r="AF149" s="23"/>
      <c r="AG149" s="23">
        <v>-73.052251999999996</v>
      </c>
      <c r="AH149" s="23">
        <v>6.8189859999999998</v>
      </c>
      <c r="AI149" s="13"/>
      <c r="AJ149" s="13">
        <f t="shared" ref="AJ149:AJ171" si="32">($H149*0.0001)+(0.1*$I149)+($J149*0.1)+($K149*0.1)+($L149*0.1)+($M149*0.1)+($N149*0.1)+($O149*0.1)+($P149*0.1)+($V149*0.1)+($W149*(130/(3600*24)))+($X149*0.001)+($Z149*0.0006)+($AA149*0.002)+($AB149*0.0002)+($AE149*0.000004)+($AF149*0.0004)+($Q149*0.1)+($R149*0.1)+($S149*0.1)+($T149*0.1)+($U149*0.1)+($AC149*3.47222222222222E-09)+($AD149*1.15740740740741E-09)</f>
        <v>0.11101851851851853</v>
      </c>
      <c r="AK149" s="38">
        <f>AJ149/$AI$147</f>
        <v>3.4793176936124798E-2</v>
      </c>
    </row>
    <row r="150" spans="3:37" ht="44.45" customHeight="1" x14ac:dyDescent="0.25">
      <c r="C150" s="23"/>
      <c r="D150" s="23" t="s">
        <v>232</v>
      </c>
      <c r="E150" s="23" t="s">
        <v>233</v>
      </c>
      <c r="F150" s="23">
        <v>1</v>
      </c>
      <c r="G150" s="23"/>
      <c r="H150" s="23"/>
      <c r="I150" s="23"/>
      <c r="J150" s="23"/>
      <c r="K150" s="23"/>
      <c r="L150" s="23">
        <v>0.5</v>
      </c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>
        <v>4</v>
      </c>
      <c r="X150" s="23">
        <v>2</v>
      </c>
      <c r="Y150" s="23"/>
      <c r="Z150" s="23"/>
      <c r="AA150" s="23"/>
      <c r="AB150" s="23"/>
      <c r="AC150" s="23"/>
      <c r="AD150" s="23"/>
      <c r="AE150" s="23"/>
      <c r="AF150" s="23"/>
      <c r="AG150" s="23">
        <v>-73.051798000000005</v>
      </c>
      <c r="AH150" s="23">
        <v>6.8238440000000002</v>
      </c>
      <c r="AI150" s="13"/>
      <c r="AJ150" s="13">
        <f t="shared" si="32"/>
        <v>5.8018518518518525E-2</v>
      </c>
      <c r="AK150" s="38">
        <f t="shared" ref="AK150:AK171" si="33">AJ150/$AI$147</f>
        <v>1.8182989714908924E-2</v>
      </c>
    </row>
    <row r="151" spans="3:37" ht="44.45" customHeight="1" x14ac:dyDescent="0.25">
      <c r="C151" s="23"/>
      <c r="D151" s="23" t="s">
        <v>234</v>
      </c>
      <c r="E151" s="23" t="s">
        <v>235</v>
      </c>
      <c r="F151" s="23">
        <v>0.5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>
        <v>2</v>
      </c>
      <c r="X151" s="23">
        <v>2</v>
      </c>
      <c r="Y151" s="23"/>
      <c r="Z151" s="23"/>
      <c r="AA151" s="23"/>
      <c r="AB151" s="23"/>
      <c r="AC151" s="23"/>
      <c r="AD151" s="23"/>
      <c r="AE151" s="23"/>
      <c r="AF151" s="23"/>
      <c r="AG151" s="23">
        <v>-73.050286</v>
      </c>
      <c r="AH151" s="23">
        <v>6.824268</v>
      </c>
      <c r="AI151" s="13"/>
      <c r="AJ151" s="13">
        <f t="shared" si="32"/>
        <v>5.0092592592592593E-3</v>
      </c>
      <c r="AK151" s="38">
        <f t="shared" si="33"/>
        <v>1.5699006440736876E-3</v>
      </c>
    </row>
    <row r="152" spans="3:37" ht="44.45" customHeight="1" x14ac:dyDescent="0.25">
      <c r="C152" s="23"/>
      <c r="D152" s="23" t="s">
        <v>236</v>
      </c>
      <c r="E152" s="23" t="s">
        <v>237</v>
      </c>
      <c r="F152" s="23">
        <v>0.5</v>
      </c>
      <c r="G152" s="23"/>
      <c r="H152" s="23"/>
      <c r="I152" s="23"/>
      <c r="J152" s="23"/>
      <c r="K152" s="23"/>
      <c r="L152" s="23"/>
      <c r="M152" s="23">
        <v>0.05</v>
      </c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>
        <v>5</v>
      </c>
      <c r="Y152" s="23"/>
      <c r="Z152" s="23"/>
      <c r="AA152" s="23"/>
      <c r="AB152" s="23"/>
      <c r="AC152" s="23"/>
      <c r="AD152" s="23"/>
      <c r="AE152" s="23"/>
      <c r="AF152" s="23"/>
      <c r="AG152" s="23">
        <v>-73.049930000000003</v>
      </c>
      <c r="AH152" s="23">
        <v>6.8245170000000002</v>
      </c>
      <c r="AI152" s="13"/>
      <c r="AJ152" s="13">
        <f t="shared" si="32"/>
        <v>1.0000000000000002E-2</v>
      </c>
      <c r="AK152" s="38">
        <f t="shared" si="33"/>
        <v>3.1339975889086557E-3</v>
      </c>
    </row>
    <row r="153" spans="3:37" ht="44.45" customHeight="1" x14ac:dyDescent="0.25">
      <c r="C153" s="23"/>
      <c r="D153" s="23" t="s">
        <v>238</v>
      </c>
      <c r="E153" s="23" t="s">
        <v>239</v>
      </c>
      <c r="F153" s="23">
        <v>0.32</v>
      </c>
      <c r="G153" s="23"/>
      <c r="H153" s="23"/>
      <c r="I153" s="23"/>
      <c r="J153" s="23"/>
      <c r="K153" s="23"/>
      <c r="L153" s="23"/>
      <c r="M153" s="23"/>
      <c r="N153" s="23"/>
      <c r="O153" s="23">
        <v>0.25</v>
      </c>
      <c r="P153" s="23"/>
      <c r="Q153" s="23"/>
      <c r="R153" s="23"/>
      <c r="S153" s="23"/>
      <c r="T153" s="23"/>
      <c r="U153" s="23"/>
      <c r="V153" s="23"/>
      <c r="W153" s="23">
        <v>2</v>
      </c>
      <c r="X153" s="23">
        <v>8</v>
      </c>
      <c r="Y153" s="23"/>
      <c r="Z153" s="23"/>
      <c r="AA153" s="23"/>
      <c r="AB153" s="23"/>
      <c r="AC153" s="23"/>
      <c r="AD153" s="23"/>
      <c r="AE153" s="23"/>
      <c r="AF153" s="23"/>
      <c r="AG153" s="23">
        <v>-73.053137000000007</v>
      </c>
      <c r="AH153" s="23">
        <v>6.8216650000000003</v>
      </c>
      <c r="AI153" s="13"/>
      <c r="AJ153" s="13">
        <f t="shared" si="32"/>
        <v>3.6009259259259262E-2</v>
      </c>
      <c r="AK153" s="38">
        <f t="shared" si="33"/>
        <v>1.128529316969052E-2</v>
      </c>
    </row>
    <row r="154" spans="3:37" ht="44.45" customHeight="1" x14ac:dyDescent="0.25">
      <c r="C154" s="23"/>
      <c r="D154" s="23" t="s">
        <v>240</v>
      </c>
      <c r="E154" s="23" t="s">
        <v>241</v>
      </c>
      <c r="F154" s="23">
        <v>0.3</v>
      </c>
      <c r="G154" s="23"/>
      <c r="H154" s="23"/>
      <c r="I154" s="23"/>
      <c r="J154" s="23"/>
      <c r="K154" s="23"/>
      <c r="L154" s="23"/>
      <c r="M154" s="23"/>
      <c r="N154" s="23"/>
      <c r="O154" s="23">
        <v>0.25</v>
      </c>
      <c r="P154" s="23"/>
      <c r="Q154" s="23"/>
      <c r="R154" s="23"/>
      <c r="S154" s="23"/>
      <c r="T154" s="23"/>
      <c r="U154" s="23"/>
      <c r="V154" s="23"/>
      <c r="W154" s="23">
        <v>4</v>
      </c>
      <c r="X154" s="23">
        <v>10</v>
      </c>
      <c r="Y154" s="23"/>
      <c r="Z154" s="23"/>
      <c r="AA154" s="23"/>
      <c r="AB154" s="23"/>
      <c r="AC154" s="23"/>
      <c r="AD154" s="23"/>
      <c r="AE154" s="23"/>
      <c r="AF154" s="23"/>
      <c r="AG154" s="23">
        <v>-73.052932999999996</v>
      </c>
      <c r="AH154" s="23">
        <v>6.8214930000000003</v>
      </c>
      <c r="AI154" s="13"/>
      <c r="AJ154" s="13">
        <f t="shared" si="32"/>
        <v>4.1018518518518524E-2</v>
      </c>
      <c r="AK154" s="38">
        <f t="shared" si="33"/>
        <v>1.2855193813764208E-2</v>
      </c>
    </row>
    <row r="155" spans="3:37" ht="44.45" customHeight="1" x14ac:dyDescent="0.25">
      <c r="C155" s="23"/>
      <c r="D155" s="23" t="s">
        <v>242</v>
      </c>
      <c r="E155" s="23" t="s">
        <v>26</v>
      </c>
      <c r="F155" s="23">
        <v>0.4</v>
      </c>
      <c r="G155" s="23"/>
      <c r="H155" s="23"/>
      <c r="I155" s="23"/>
      <c r="J155" s="23"/>
      <c r="K155" s="23"/>
      <c r="L155" s="23"/>
      <c r="M155" s="23">
        <v>0.1</v>
      </c>
      <c r="N155" s="23"/>
      <c r="O155" s="23"/>
      <c r="P155" s="23"/>
      <c r="Q155" s="23"/>
      <c r="R155" s="23"/>
      <c r="S155" s="23"/>
      <c r="T155" s="23"/>
      <c r="U155" s="23"/>
      <c r="V155" s="23"/>
      <c r="W155" s="23">
        <v>5</v>
      </c>
      <c r="X155" s="23">
        <v>10</v>
      </c>
      <c r="Y155" s="23"/>
      <c r="Z155" s="23"/>
      <c r="AA155" s="23"/>
      <c r="AB155" s="23"/>
      <c r="AC155" s="23"/>
      <c r="AD155" s="23"/>
      <c r="AE155" s="23">
        <v>10</v>
      </c>
      <c r="AF155" s="23"/>
      <c r="AG155" s="23">
        <v>-73.052526</v>
      </c>
      <c r="AH155" s="23">
        <v>6.8206129999999998</v>
      </c>
      <c r="AI155" s="13"/>
      <c r="AJ155" s="13">
        <f t="shared" si="32"/>
        <v>2.7563148148148149E-2</v>
      </c>
      <c r="AK155" s="38">
        <f t="shared" si="33"/>
        <v>8.638283983902836E-3</v>
      </c>
    </row>
    <row r="156" spans="3:37" ht="44.45" customHeight="1" x14ac:dyDescent="0.25">
      <c r="C156" s="23"/>
      <c r="D156" s="23" t="s">
        <v>243</v>
      </c>
      <c r="E156" s="23" t="s">
        <v>244</v>
      </c>
      <c r="F156" s="23">
        <v>0.25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>
        <v>2</v>
      </c>
      <c r="X156" s="23">
        <v>2</v>
      </c>
      <c r="Y156" s="23"/>
      <c r="Z156" s="23"/>
      <c r="AA156" s="23"/>
      <c r="AB156" s="23"/>
      <c r="AC156" s="23"/>
      <c r="AD156" s="23"/>
      <c r="AE156" s="23"/>
      <c r="AF156" s="23"/>
      <c r="AG156" s="23">
        <v>-73.051412999999997</v>
      </c>
      <c r="AH156" s="23">
        <v>6.824389</v>
      </c>
      <c r="AI156" s="13"/>
      <c r="AJ156" s="13">
        <f t="shared" si="32"/>
        <v>5.0092592592592593E-3</v>
      </c>
      <c r="AK156" s="38">
        <f t="shared" si="33"/>
        <v>1.5699006440736876E-3</v>
      </c>
    </row>
    <row r="157" spans="3:37" ht="44.45" customHeight="1" x14ac:dyDescent="0.25">
      <c r="C157" s="23"/>
      <c r="D157" s="23" t="s">
        <v>245</v>
      </c>
      <c r="E157" s="23" t="s">
        <v>246</v>
      </c>
      <c r="F157" s="23">
        <v>11</v>
      </c>
      <c r="G157" s="23"/>
      <c r="H157" s="23"/>
      <c r="I157" s="23"/>
      <c r="J157" s="23"/>
      <c r="K157" s="23"/>
      <c r="L157" s="23"/>
      <c r="M157" s="23">
        <v>2</v>
      </c>
      <c r="N157" s="23"/>
      <c r="O157" s="23"/>
      <c r="P157" s="23"/>
      <c r="Q157" s="23"/>
      <c r="R157" s="23"/>
      <c r="S157" s="23"/>
      <c r="T157" s="23"/>
      <c r="U157" s="23"/>
      <c r="V157" s="23"/>
      <c r="W157" s="23">
        <v>50</v>
      </c>
      <c r="X157" s="23">
        <v>160</v>
      </c>
      <c r="Y157" s="23"/>
      <c r="Z157" s="23"/>
      <c r="AA157" s="23"/>
      <c r="AB157" s="23"/>
      <c r="AC157" s="23"/>
      <c r="AD157" s="23"/>
      <c r="AE157" s="23"/>
      <c r="AF157" s="23"/>
      <c r="AG157" s="23">
        <v>-73.052164000000005</v>
      </c>
      <c r="AH157" s="23">
        <v>6.8228900000000001</v>
      </c>
      <c r="AI157" s="13"/>
      <c r="AJ157" s="13">
        <f t="shared" si="32"/>
        <v>0.4352314814814815</v>
      </c>
      <c r="AK157" s="38">
        <f t="shared" si="33"/>
        <v>0.13640144135801049</v>
      </c>
    </row>
    <row r="158" spans="3:37" ht="44.45" customHeight="1" x14ac:dyDescent="0.25">
      <c r="C158" s="23"/>
      <c r="D158" s="23" t="s">
        <v>247</v>
      </c>
      <c r="E158" s="23" t="s">
        <v>248</v>
      </c>
      <c r="F158" s="23">
        <v>2.5</v>
      </c>
      <c r="G158" s="23"/>
      <c r="H158" s="23"/>
      <c r="I158" s="23"/>
      <c r="J158" s="23"/>
      <c r="K158" s="23"/>
      <c r="L158" s="23"/>
      <c r="M158" s="23"/>
      <c r="N158" s="23"/>
      <c r="O158" s="23"/>
      <c r="P158" s="23">
        <v>0.1</v>
      </c>
      <c r="Q158" s="23"/>
      <c r="R158" s="23"/>
      <c r="S158" s="23"/>
      <c r="T158" s="23"/>
      <c r="U158" s="23"/>
      <c r="V158" s="23"/>
      <c r="W158" s="23">
        <v>2</v>
      </c>
      <c r="X158" s="23">
        <v>5</v>
      </c>
      <c r="Y158" s="23"/>
      <c r="Z158" s="23"/>
      <c r="AA158" s="23"/>
      <c r="AB158" s="23"/>
      <c r="AC158" s="23"/>
      <c r="AD158" s="23"/>
      <c r="AE158" s="23"/>
      <c r="AF158" s="23"/>
      <c r="AG158" s="23">
        <v>-73.050707000000003</v>
      </c>
      <c r="AH158" s="23">
        <v>6.8236790000000003</v>
      </c>
      <c r="AI158" s="13"/>
      <c r="AJ158" s="13">
        <f t="shared" si="32"/>
        <v>1.8009259259259263E-2</v>
      </c>
      <c r="AK158" s="38">
        <f t="shared" si="33"/>
        <v>5.6440975096549405E-3</v>
      </c>
    </row>
    <row r="159" spans="3:37" ht="44.45" customHeight="1" x14ac:dyDescent="0.25">
      <c r="C159" s="23"/>
      <c r="D159" s="23" t="s">
        <v>249</v>
      </c>
      <c r="E159" s="23" t="s">
        <v>249</v>
      </c>
      <c r="F159" s="23">
        <v>6</v>
      </c>
      <c r="G159" s="23"/>
      <c r="H159" s="23"/>
      <c r="I159" s="23"/>
      <c r="J159" s="23"/>
      <c r="K159" s="23"/>
      <c r="L159" s="23"/>
      <c r="M159" s="23">
        <v>1</v>
      </c>
      <c r="N159" s="23"/>
      <c r="O159" s="23"/>
      <c r="P159" s="23"/>
      <c r="Q159" s="23"/>
      <c r="R159" s="23"/>
      <c r="S159" s="23"/>
      <c r="T159" s="23"/>
      <c r="U159" s="23"/>
      <c r="V159" s="23"/>
      <c r="W159" s="23">
        <v>18</v>
      </c>
      <c r="X159" s="23">
        <v>40</v>
      </c>
      <c r="Y159" s="23"/>
      <c r="Z159" s="23"/>
      <c r="AA159" s="23"/>
      <c r="AB159" s="23"/>
      <c r="AC159" s="23"/>
      <c r="AD159" s="23"/>
      <c r="AE159" s="23"/>
      <c r="AF159" s="23"/>
      <c r="AG159" s="23">
        <v>-73.046055999999993</v>
      </c>
      <c r="AH159" s="23">
        <v>6.8151729999999997</v>
      </c>
      <c r="AI159" s="13"/>
      <c r="AJ159" s="13">
        <f t="shared" si="32"/>
        <v>0.16708333333333333</v>
      </c>
      <c r="AK159" s="38">
        <f t="shared" si="33"/>
        <v>5.2363876381348783E-2</v>
      </c>
    </row>
    <row r="160" spans="3:37" ht="44.45" customHeight="1" x14ac:dyDescent="0.25">
      <c r="C160" s="23"/>
      <c r="D160" s="23" t="s">
        <v>250</v>
      </c>
      <c r="E160" s="23" t="s">
        <v>251</v>
      </c>
      <c r="F160" s="23">
        <v>14.5</v>
      </c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>
        <v>30</v>
      </c>
      <c r="X160" s="23">
        <v>50</v>
      </c>
      <c r="Y160" s="23"/>
      <c r="Z160" s="23"/>
      <c r="AA160" s="23"/>
      <c r="AB160" s="23"/>
      <c r="AC160" s="23"/>
      <c r="AD160" s="23"/>
      <c r="AE160" s="23"/>
      <c r="AF160" s="23"/>
      <c r="AG160" s="23">
        <v>-73.052522999999994</v>
      </c>
      <c r="AH160" s="23">
        <v>6.8153680000000003</v>
      </c>
      <c r="AI160" s="13"/>
      <c r="AJ160" s="13">
        <f t="shared" si="32"/>
        <v>9.5138888888888884E-2</v>
      </c>
      <c r="AK160" s="38">
        <f t="shared" si="33"/>
        <v>2.9816504838922623E-2</v>
      </c>
    </row>
    <row r="161" spans="3:37" ht="44.45" customHeight="1" x14ac:dyDescent="0.25">
      <c r="C161" s="23"/>
      <c r="D161" s="23" t="s">
        <v>252</v>
      </c>
      <c r="E161" s="23" t="s">
        <v>253</v>
      </c>
      <c r="F161" s="23">
        <v>1.1000000000000001</v>
      </c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>
        <v>2</v>
      </c>
      <c r="X161" s="23">
        <v>4</v>
      </c>
      <c r="Y161" s="23"/>
      <c r="Z161" s="23"/>
      <c r="AA161" s="23"/>
      <c r="AB161" s="23"/>
      <c r="AC161" s="23"/>
      <c r="AD161" s="23"/>
      <c r="AE161" s="23"/>
      <c r="AF161" s="23"/>
      <c r="AG161" s="23">
        <v>-73.050718000000003</v>
      </c>
      <c r="AH161" s="23">
        <v>6.8154490000000001</v>
      </c>
      <c r="AI161" s="13"/>
      <c r="AJ161" s="13">
        <f t="shared" si="32"/>
        <v>7.0092592592592593E-3</v>
      </c>
      <c r="AK161" s="38">
        <f t="shared" si="33"/>
        <v>2.1967001618554186E-3</v>
      </c>
    </row>
    <row r="162" spans="3:37" ht="44.45" customHeight="1" x14ac:dyDescent="0.25">
      <c r="C162" s="23"/>
      <c r="D162" s="23" t="s">
        <v>254</v>
      </c>
      <c r="E162" s="23" t="s">
        <v>255</v>
      </c>
      <c r="F162" s="23">
        <v>0.25</v>
      </c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>
        <v>5</v>
      </c>
      <c r="Y162" s="23"/>
      <c r="Z162" s="23"/>
      <c r="AA162" s="23"/>
      <c r="AB162" s="23"/>
      <c r="AC162" s="23"/>
      <c r="AD162" s="23"/>
      <c r="AE162" s="23"/>
      <c r="AF162" s="23"/>
      <c r="AG162" s="23">
        <v>-73.269705000000002</v>
      </c>
      <c r="AH162" s="23">
        <v>6.816567</v>
      </c>
      <c r="AI162" s="13"/>
      <c r="AJ162" s="13">
        <f t="shared" si="32"/>
        <v>5.0000000000000001E-3</v>
      </c>
      <c r="AK162" s="38">
        <f t="shared" si="33"/>
        <v>1.5669987944543276E-3</v>
      </c>
    </row>
    <row r="163" spans="3:37" ht="44.45" customHeight="1" x14ac:dyDescent="0.25">
      <c r="C163" s="23"/>
      <c r="D163" s="23" t="s">
        <v>256</v>
      </c>
      <c r="E163" s="23" t="s">
        <v>257</v>
      </c>
      <c r="F163" s="23">
        <v>1</v>
      </c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>
        <v>6</v>
      </c>
      <c r="X163" s="23"/>
      <c r="Y163" s="23"/>
      <c r="Z163" s="23"/>
      <c r="AA163" s="23"/>
      <c r="AB163" s="23"/>
      <c r="AC163" s="23"/>
      <c r="AD163" s="23"/>
      <c r="AE163" s="23"/>
      <c r="AF163" s="23"/>
      <c r="AG163" s="23">
        <v>-73.051879999999997</v>
      </c>
      <c r="AH163" s="23">
        <v>6.8251379999999999</v>
      </c>
      <c r="AI163" s="13"/>
      <c r="AJ163" s="13">
        <f t="shared" si="32"/>
        <v>9.0277777777777769E-3</v>
      </c>
      <c r="AK163" s="38">
        <f t="shared" si="33"/>
        <v>2.8293033788758691E-3</v>
      </c>
    </row>
    <row r="164" spans="3:37" ht="44.45" customHeight="1" x14ac:dyDescent="0.25">
      <c r="C164" s="23"/>
      <c r="D164" s="23" t="s">
        <v>258</v>
      </c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>
        <v>-73.052428000000006</v>
      </c>
      <c r="AH164" s="23">
        <v>6.8153550000000003</v>
      </c>
      <c r="AI164" s="13"/>
      <c r="AJ164" s="13">
        <f t="shared" si="32"/>
        <v>0</v>
      </c>
      <c r="AK164" s="38">
        <f t="shared" si="33"/>
        <v>0</v>
      </c>
    </row>
    <row r="165" spans="3:37" ht="44.45" customHeight="1" x14ac:dyDescent="0.25">
      <c r="C165" s="23"/>
      <c r="D165" s="23" t="s">
        <v>259</v>
      </c>
      <c r="E165" s="23" t="s">
        <v>260</v>
      </c>
      <c r="F165" s="23">
        <v>2.25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>
        <v>1.5</v>
      </c>
      <c r="U165" s="23"/>
      <c r="V165" s="23"/>
      <c r="W165" s="23">
        <v>10</v>
      </c>
      <c r="X165" s="23">
        <v>4</v>
      </c>
      <c r="Y165" s="23"/>
      <c r="Z165" s="23"/>
      <c r="AA165" s="23"/>
      <c r="AB165" s="23"/>
      <c r="AC165" s="23"/>
      <c r="AD165" s="23"/>
      <c r="AE165" s="23"/>
      <c r="AF165" s="23"/>
      <c r="AG165" s="23">
        <v>-73.054068999999998</v>
      </c>
      <c r="AH165" s="23">
        <v>6.8189489999999999</v>
      </c>
      <c r="AI165" s="13"/>
      <c r="AJ165" s="13">
        <f t="shared" si="32"/>
        <v>0.16904629629629631</v>
      </c>
      <c r="AK165" s="38">
        <f t="shared" si="33"/>
        <v>5.2979068500653079E-2</v>
      </c>
    </row>
    <row r="166" spans="3:37" ht="44.45" customHeight="1" x14ac:dyDescent="0.25">
      <c r="C166" s="23"/>
      <c r="D166" s="23" t="s">
        <v>261</v>
      </c>
      <c r="E166" s="23" t="s">
        <v>262</v>
      </c>
      <c r="F166" s="23">
        <v>5.5</v>
      </c>
      <c r="G166" s="23"/>
      <c r="H166" s="23"/>
      <c r="I166" s="23"/>
      <c r="J166" s="23"/>
      <c r="K166" s="23"/>
      <c r="L166" s="23">
        <v>2</v>
      </c>
      <c r="M166" s="23"/>
      <c r="N166" s="23"/>
      <c r="O166" s="23">
        <v>1</v>
      </c>
      <c r="P166" s="23"/>
      <c r="Q166" s="23"/>
      <c r="R166" s="23"/>
      <c r="S166" s="23"/>
      <c r="T166" s="23"/>
      <c r="U166" s="23"/>
      <c r="V166" s="23"/>
      <c r="W166" s="23">
        <v>5</v>
      </c>
      <c r="X166" s="23">
        <v>5</v>
      </c>
      <c r="Y166" s="23"/>
      <c r="Z166" s="23"/>
      <c r="AA166" s="23"/>
      <c r="AB166" s="23"/>
      <c r="AC166" s="23"/>
      <c r="AD166" s="23"/>
      <c r="AE166" s="23"/>
      <c r="AF166" s="23"/>
      <c r="AG166" s="23">
        <v>-73.056516000000002</v>
      </c>
      <c r="AH166" s="23">
        <v>6.8194559999999997</v>
      </c>
      <c r="AI166" s="13"/>
      <c r="AJ166" s="13">
        <f t="shared" si="32"/>
        <v>0.31252314814814819</v>
      </c>
      <c r="AK166" s="38">
        <f t="shared" si="33"/>
        <v>9.7944679277443894E-2</v>
      </c>
    </row>
    <row r="167" spans="3:37" ht="44.45" customHeight="1" x14ac:dyDescent="0.25">
      <c r="C167" s="23"/>
      <c r="D167" s="23" t="s">
        <v>263</v>
      </c>
      <c r="E167" s="23" t="s">
        <v>264</v>
      </c>
      <c r="F167" s="23">
        <v>0.3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>
        <v>0.1</v>
      </c>
      <c r="Q167" s="23"/>
      <c r="R167" s="23"/>
      <c r="S167" s="23"/>
      <c r="T167" s="23"/>
      <c r="U167" s="23"/>
      <c r="V167" s="23"/>
      <c r="W167" s="23">
        <v>3</v>
      </c>
      <c r="X167" s="23">
        <v>6</v>
      </c>
      <c r="Y167" s="23"/>
      <c r="Z167" s="23"/>
      <c r="AA167" s="23"/>
      <c r="AB167" s="23"/>
      <c r="AC167" s="23"/>
      <c r="AD167" s="23"/>
      <c r="AE167" s="23"/>
      <c r="AF167" s="23"/>
      <c r="AG167" s="23">
        <v>-73.055194999999998</v>
      </c>
      <c r="AH167" s="23">
        <v>6.8179270000000001</v>
      </c>
      <c r="AI167" s="13"/>
      <c r="AJ167" s="13">
        <f t="shared" si="32"/>
        <v>2.0513888888888891E-2</v>
      </c>
      <c r="AK167" s="38">
        <f t="shared" si="33"/>
        <v>6.4290478316917834E-3</v>
      </c>
    </row>
    <row r="168" spans="3:37" ht="44.45" customHeight="1" x14ac:dyDescent="0.25">
      <c r="C168" s="23"/>
      <c r="D168" s="23" t="s">
        <v>265</v>
      </c>
      <c r="E168" s="23" t="s">
        <v>266</v>
      </c>
      <c r="F168" s="23">
        <v>0.3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>
        <v>3</v>
      </c>
      <c r="X168" s="23">
        <v>2</v>
      </c>
      <c r="Y168" s="23"/>
      <c r="Z168" s="23"/>
      <c r="AA168" s="23"/>
      <c r="AB168" s="23"/>
      <c r="AC168" s="23"/>
      <c r="AD168" s="23"/>
      <c r="AE168" s="23"/>
      <c r="AF168" s="23"/>
      <c r="AG168" s="23">
        <v>-73.055012000000005</v>
      </c>
      <c r="AH168" s="23">
        <v>6.8172889999999997</v>
      </c>
      <c r="AI168" s="13"/>
      <c r="AJ168" s="13">
        <f t="shared" si="32"/>
        <v>6.5138888888888885E-3</v>
      </c>
      <c r="AK168" s="38">
        <f t="shared" si="33"/>
        <v>2.0414512072196656E-3</v>
      </c>
    </row>
    <row r="169" spans="3:37" ht="44.45" customHeight="1" x14ac:dyDescent="0.25">
      <c r="C169" s="23"/>
      <c r="D169" s="23" t="s">
        <v>267</v>
      </c>
      <c r="E169" s="23" t="s">
        <v>268</v>
      </c>
      <c r="F169" s="23">
        <v>0.5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>
        <v>2</v>
      </c>
      <c r="X169" s="23">
        <v>2</v>
      </c>
      <c r="Y169" s="23"/>
      <c r="Z169" s="23"/>
      <c r="AA169" s="23"/>
      <c r="AB169" s="23"/>
      <c r="AC169" s="23"/>
      <c r="AD169" s="23"/>
      <c r="AE169" s="23"/>
      <c r="AF169" s="23"/>
      <c r="AG169" s="23">
        <v>-73.055193000000003</v>
      </c>
      <c r="AH169" s="23">
        <v>6.81717</v>
      </c>
      <c r="AI169" s="13"/>
      <c r="AJ169" s="13">
        <f t="shared" si="32"/>
        <v>5.0092592592592593E-3</v>
      </c>
      <c r="AK169" s="38">
        <f t="shared" si="33"/>
        <v>1.5699006440736876E-3</v>
      </c>
    </row>
    <row r="170" spans="3:37" ht="44.45" customHeight="1" x14ac:dyDescent="0.25">
      <c r="C170" s="23"/>
      <c r="D170" s="23" t="s">
        <v>269</v>
      </c>
      <c r="E170" s="23"/>
      <c r="F170" s="23">
        <v>3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>
        <v>2</v>
      </c>
      <c r="U170" s="23"/>
      <c r="V170" s="23"/>
      <c r="W170" s="23">
        <v>1</v>
      </c>
      <c r="X170" s="23">
        <v>4</v>
      </c>
      <c r="Y170" s="23"/>
      <c r="Z170" s="23"/>
      <c r="AA170" s="23"/>
      <c r="AB170" s="23"/>
      <c r="AC170" s="23"/>
      <c r="AD170" s="23"/>
      <c r="AE170" s="23"/>
      <c r="AF170" s="23"/>
      <c r="AG170" s="23">
        <v>-73.057021000000006</v>
      </c>
      <c r="AH170" s="23">
        <v>6.8183249999999997</v>
      </c>
      <c r="AI170" s="13"/>
      <c r="AJ170" s="13">
        <f t="shared" si="32"/>
        <v>0.20550462962962965</v>
      </c>
      <c r="AK170" s="38">
        <f t="shared" si="33"/>
        <v>6.4405101376882545E-2</v>
      </c>
    </row>
    <row r="171" spans="3:37" ht="44.45" customHeight="1" x14ac:dyDescent="0.25">
      <c r="C171" s="23"/>
      <c r="D171" s="23" t="s">
        <v>270</v>
      </c>
      <c r="E171" s="23" t="s">
        <v>271</v>
      </c>
      <c r="F171" s="23">
        <v>12.12663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>
        <v>1</v>
      </c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>
        <v>4994173.6838400001</v>
      </c>
      <c r="AH171" s="23">
        <v>2311892.7803799999</v>
      </c>
      <c r="AI171" s="13"/>
      <c r="AJ171" s="13">
        <f t="shared" si="32"/>
        <v>0.1</v>
      </c>
      <c r="AK171" s="38">
        <f t="shared" si="33"/>
        <v>3.1339975889086553E-2</v>
      </c>
    </row>
    <row r="172" spans="3:37" ht="44.45" customHeight="1" x14ac:dyDescent="0.25"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49" t="s">
        <v>323</v>
      </c>
      <c r="AJ172" s="49">
        <f>SUM(AJ149:AJ171)</f>
        <v>1.8492575925925927</v>
      </c>
      <c r="AK172" s="51">
        <f>SUM(AK149:AK171)</f>
        <v>0.57955688364562097</v>
      </c>
    </row>
    <row r="173" spans="3:37" ht="44.45" customHeight="1" x14ac:dyDescent="0.25">
      <c r="AI173" s="40">
        <v>5.9720153742551201</v>
      </c>
    </row>
    <row r="174" spans="3:37" ht="44.45" customHeight="1" x14ac:dyDescent="0.25">
      <c r="C174" s="116" t="s">
        <v>272</v>
      </c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7"/>
      <c r="AH174" s="17"/>
      <c r="AI174" s="7"/>
      <c r="AJ174" s="23"/>
      <c r="AK174" s="23"/>
    </row>
    <row r="175" spans="3:37" ht="44.45" customHeight="1" x14ac:dyDescent="0.25">
      <c r="C175" s="23"/>
      <c r="D175" s="23" t="s">
        <v>273</v>
      </c>
      <c r="E175" s="20" t="s">
        <v>274</v>
      </c>
      <c r="F175" s="20">
        <v>17.068805000000001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>
        <v>3</v>
      </c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>
        <v>4994173.6838400001</v>
      </c>
      <c r="AH175" s="23">
        <v>2311892.7803799999</v>
      </c>
      <c r="AI175" s="13"/>
      <c r="AJ175" s="13">
        <f t="shared" ref="AJ175" si="34">($H175*0.0001)+(0.1*$I175)+($J175*0.1)+($K175*0.1)+($L175*0.1)+($M175*0.1)+($N175*0.1)+($O175*0.1)+($P175*0.1)+($V175*0.1)+($W175*(130/(3600*24)))+($X175*0.001)+($Z175*0.0006)+($AA175*0.002)+($AB175*0.0002)+($AE175*0.000004)+($AF175*0.0004)+($Q175*0.1)+($R175*0.1)+($S175*0.1)+($T175*0.1)+($U175*0.1)+($AC175*3.47222222222222E-09)+($AD175*1.15740740740741E-09)</f>
        <v>0.30000000000000004</v>
      </c>
      <c r="AK175" s="38">
        <f>AJ175/$AI$173</f>
        <v>5.0234298004870517E-2</v>
      </c>
    </row>
    <row r="176" spans="3:37" ht="44.45" customHeight="1" x14ac:dyDescent="0.25"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>
        <f>3/9</f>
        <v>0.33333333333333331</v>
      </c>
      <c r="O176" s="20"/>
      <c r="P176" s="20"/>
      <c r="Q176" s="20">
        <f>9*0.3</f>
        <v>2.6999999999999997</v>
      </c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49" t="s">
        <v>323</v>
      </c>
      <c r="AJ176" s="98">
        <f>AJ175</f>
        <v>0.30000000000000004</v>
      </c>
      <c r="AK176" s="63">
        <f>AK175</f>
        <v>5.0234298004870517E-2</v>
      </c>
    </row>
    <row r="177" spans="3:37" ht="44.45" customHeight="1" x14ac:dyDescent="0.25">
      <c r="AI177" s="40">
        <v>0.41781686637743731</v>
      </c>
    </row>
    <row r="178" spans="3:37" ht="44.45" customHeight="1" x14ac:dyDescent="0.25">
      <c r="C178" s="116" t="s">
        <v>497</v>
      </c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7"/>
      <c r="AH178" s="17"/>
      <c r="AI178" s="7"/>
      <c r="AJ178" s="23"/>
      <c r="AK178" s="23"/>
    </row>
    <row r="179" spans="3:37" ht="44.45" customHeight="1" x14ac:dyDescent="0.25">
      <c r="C179" s="23"/>
      <c r="D179" s="23" t="s">
        <v>273</v>
      </c>
      <c r="E179" s="23" t="s">
        <v>274</v>
      </c>
      <c r="F179" s="23">
        <v>17.068805000000001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>
        <f>3*0.2</f>
        <v>0.60000000000000009</v>
      </c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>
        <v>4994851.8716599997</v>
      </c>
      <c r="AH179" s="23">
        <v>2311639.5085800001</v>
      </c>
      <c r="AI179" s="13"/>
      <c r="AJ179" s="13">
        <f t="shared" ref="AJ179:AJ181" si="35">($H179*0.0001)+(0.1*$I179)+($J179*0.1)+($K179*0.1)+($L179*0.1)+($M179*0.1)+($N179*0.1)+($O179*0.1)+($P179*0.1)+($V179*0.1)+($W179*(130/(3600*24)))+($X179*0.001)+($Z179*0.0006)+($AA179*0.002)+($AB179*0.0002)+($AE179*0.000004)+($AF179*0.0004)+($Q179*0.1)+($R179*0.1)+($S179*0.1)+($T179*0.1)+($U179*0.1)+($AC179*3.47222222222222E-09)+($AD179*1.15740740740741E-09)</f>
        <v>6.0000000000000012E-2</v>
      </c>
      <c r="AK179" s="38">
        <f>AJ179/$AI$177</f>
        <v>0.14360358527460368</v>
      </c>
    </row>
    <row r="180" spans="3:37" ht="44.45" customHeight="1" x14ac:dyDescent="0.25">
      <c r="C180" s="23"/>
      <c r="D180" s="23" t="s">
        <v>275</v>
      </c>
      <c r="E180" s="23" t="s">
        <v>276</v>
      </c>
      <c r="F180" s="23">
        <v>0.25</v>
      </c>
      <c r="G180" s="23"/>
      <c r="H180" s="23"/>
      <c r="I180" s="23"/>
      <c r="J180" s="23"/>
      <c r="K180" s="23"/>
      <c r="L180" s="23">
        <f>0.05*0.2</f>
        <v>1.0000000000000002E-2</v>
      </c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>
        <v>2</v>
      </c>
      <c r="X180" s="23">
        <v>4</v>
      </c>
      <c r="Y180" s="23"/>
      <c r="Z180" s="23"/>
      <c r="AA180" s="23"/>
      <c r="AB180" s="23"/>
      <c r="AC180" s="23"/>
      <c r="AD180" s="23"/>
      <c r="AE180" s="23"/>
      <c r="AF180" s="23"/>
      <c r="AG180" s="23">
        <v>-73.042063999999996</v>
      </c>
      <c r="AH180" s="23">
        <v>6.8229480000000002</v>
      </c>
      <c r="AI180" s="13"/>
      <c r="AJ180" s="13">
        <f t="shared" si="35"/>
        <v>8.0092592592592594E-3</v>
      </c>
      <c r="AK180" s="38">
        <f t="shared" ref="AK180:AK181" si="36">AJ180/$AI$177</f>
        <v>1.9169305750390764E-2</v>
      </c>
    </row>
    <row r="181" spans="3:37" ht="44.45" customHeight="1" x14ac:dyDescent="0.25">
      <c r="C181" s="23"/>
      <c r="D181" s="23" t="s">
        <v>277</v>
      </c>
      <c r="E181" s="23" t="s">
        <v>278</v>
      </c>
      <c r="F181" s="23">
        <v>13</v>
      </c>
      <c r="G181" s="23"/>
      <c r="H181" s="23"/>
      <c r="I181" s="23"/>
      <c r="J181" s="23"/>
      <c r="K181" s="23"/>
      <c r="L181" s="23"/>
      <c r="M181" s="23">
        <f>9*0.2</f>
        <v>1.8</v>
      </c>
      <c r="N181" s="23"/>
      <c r="O181" s="23"/>
      <c r="P181" s="23"/>
      <c r="Q181" s="23"/>
      <c r="R181" s="23"/>
      <c r="S181" s="23"/>
      <c r="T181" s="23"/>
      <c r="U181" s="23"/>
      <c r="V181" s="23"/>
      <c r="W181" s="23">
        <v>72</v>
      </c>
      <c r="X181" s="23">
        <v>30</v>
      </c>
      <c r="Y181" s="23"/>
      <c r="Z181" s="23"/>
      <c r="AA181" s="23"/>
      <c r="AB181" s="23"/>
      <c r="AC181" s="23"/>
      <c r="AD181" s="23"/>
      <c r="AE181" s="23"/>
      <c r="AF181" s="23"/>
      <c r="AG181" s="23">
        <v>-73.042039000000003</v>
      </c>
      <c r="AH181" s="23">
        <v>6.8218490000000003</v>
      </c>
      <c r="AI181" s="13"/>
      <c r="AJ181" s="13">
        <f t="shared" si="35"/>
        <v>0.31833333333333336</v>
      </c>
      <c r="AK181" s="38">
        <f t="shared" si="36"/>
        <v>0.76189679965136947</v>
      </c>
    </row>
    <row r="182" spans="3:37" ht="44.45" customHeight="1" x14ac:dyDescent="0.25">
      <c r="AI182" s="65" t="s">
        <v>323</v>
      </c>
      <c r="AJ182" s="66">
        <f>SUM(AJ179:AJ181)</f>
        <v>0.38634259259259263</v>
      </c>
      <c r="AK182" s="51">
        <f>SUM(AK179:AK181)</f>
        <v>0.92466969067636395</v>
      </c>
    </row>
    <row r="183" spans="3:37" ht="44.45" customHeight="1" x14ac:dyDescent="0.25">
      <c r="C183" s="134" t="s">
        <v>279</v>
      </c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6"/>
      <c r="AI183" s="69">
        <v>4.717695688855077</v>
      </c>
    </row>
    <row r="184" spans="3:37" ht="44.45" customHeight="1" x14ac:dyDescent="0.25">
      <c r="C184" s="122" t="s">
        <v>280</v>
      </c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33"/>
      <c r="AG184" s="17"/>
      <c r="AH184" s="17"/>
      <c r="AI184" s="7"/>
      <c r="AJ184" s="23"/>
      <c r="AK184" s="23"/>
    </row>
    <row r="185" spans="3:37" ht="44.45" customHeight="1" x14ac:dyDescent="0.25">
      <c r="C185" s="23"/>
      <c r="D185" s="23" t="s">
        <v>281</v>
      </c>
      <c r="E185" s="23" t="s">
        <v>28</v>
      </c>
      <c r="F185" s="23">
        <v>1.302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>
        <v>1</v>
      </c>
      <c r="U185" s="23"/>
      <c r="V185" s="23"/>
      <c r="W185" s="23">
        <v>1</v>
      </c>
      <c r="X185" s="23"/>
      <c r="Y185" s="23"/>
      <c r="Z185" s="23"/>
      <c r="AA185" s="23"/>
      <c r="AB185" s="23"/>
      <c r="AC185" s="23"/>
      <c r="AD185" s="23"/>
      <c r="AE185" s="23"/>
      <c r="AF185" s="23"/>
      <c r="AG185" s="23">
        <v>-73.046400000000006</v>
      </c>
      <c r="AH185" s="23">
        <v>6.8132060000000001</v>
      </c>
      <c r="AI185" s="13"/>
      <c r="AJ185" s="13">
        <f t="shared" ref="AJ185:AJ191" si="37">($H185*0.0001)+(0.1*$I185)+($J185*0.1)+($K185*0.1)+($L185*0.1)+($M185*0.1)+($N185*0.1)+($O185*0.1)+($P185*0.1)+($V185*0.1)+($W185*(130/(3600*24)))+($X185*0.001)+($Z185*0.0006)+($AA185*0.002)+($AB185*0.0002)+($AE185*0.000004)+($AF185*0.0004)+($Q185*0.1)+($R185*0.1)+($S185*0.1)+($T185*0.1)+($U185*0.1)+($AC185*3.47222222222222E-09)+($AD185*1.15740740740741E-09)</f>
        <v>0.10150462962962964</v>
      </c>
      <c r="AK185" s="38">
        <f>AJ185/$AI$183</f>
        <v>2.1515722149993841E-2</v>
      </c>
    </row>
    <row r="186" spans="3:37" ht="44.45" customHeight="1" x14ac:dyDescent="0.25">
      <c r="C186" s="25"/>
      <c r="D186" s="23" t="s">
        <v>282</v>
      </c>
      <c r="E186" s="23" t="s">
        <v>283</v>
      </c>
      <c r="F186" s="23">
        <v>1.1579999999999999</v>
      </c>
      <c r="G186" s="25"/>
      <c r="H186" s="25"/>
      <c r="I186" s="25"/>
      <c r="J186" s="25"/>
      <c r="K186" s="25"/>
      <c r="L186" s="23">
        <v>1</v>
      </c>
      <c r="M186" s="25"/>
      <c r="N186" s="25"/>
      <c r="O186" s="25"/>
      <c r="P186" s="25"/>
      <c r="Q186" s="25"/>
      <c r="R186" s="25"/>
      <c r="S186" s="25"/>
      <c r="T186" s="23"/>
      <c r="U186" s="25"/>
      <c r="V186" s="25"/>
      <c r="W186" s="23">
        <v>4</v>
      </c>
      <c r="X186" s="23">
        <v>2</v>
      </c>
      <c r="Y186" s="25"/>
      <c r="Z186" s="25"/>
      <c r="AA186" s="25"/>
      <c r="AB186" s="25"/>
      <c r="AC186" s="25"/>
      <c r="AD186" s="25"/>
      <c r="AE186" s="23">
        <v>10</v>
      </c>
      <c r="AF186" s="25"/>
      <c r="AG186" s="23">
        <v>-73.051670999999999</v>
      </c>
      <c r="AH186" s="23">
        <v>6.8114160000000004</v>
      </c>
      <c r="AI186" s="13"/>
      <c r="AJ186" s="13">
        <f t="shared" si="37"/>
        <v>0.10805851851851853</v>
      </c>
      <c r="AK186" s="38">
        <f t="shared" ref="AK186:AK191" si="38">AJ186/$AI$183</f>
        <v>2.2904936147914813E-2</v>
      </c>
    </row>
    <row r="187" spans="3:37" ht="44.45" customHeight="1" x14ac:dyDescent="0.25">
      <c r="C187" s="25"/>
      <c r="D187" s="23" t="s">
        <v>284</v>
      </c>
      <c r="E187" s="23" t="s">
        <v>285</v>
      </c>
      <c r="F187" s="23">
        <v>5.24</v>
      </c>
      <c r="G187" s="25"/>
      <c r="H187" s="25"/>
      <c r="I187" s="25"/>
      <c r="J187" s="25"/>
      <c r="K187" s="25"/>
      <c r="L187" s="23">
        <v>3.5</v>
      </c>
      <c r="M187" s="25"/>
      <c r="N187" s="25"/>
      <c r="O187" s="23">
        <v>1</v>
      </c>
      <c r="P187" s="25"/>
      <c r="Q187" s="25"/>
      <c r="R187" s="25"/>
      <c r="S187" s="25"/>
      <c r="T187" s="23"/>
      <c r="U187" s="25"/>
      <c r="V187" s="25"/>
      <c r="W187" s="23">
        <v>2</v>
      </c>
      <c r="X187" s="23">
        <v>6</v>
      </c>
      <c r="Y187" s="25"/>
      <c r="Z187" s="25"/>
      <c r="AA187" s="25"/>
      <c r="AB187" s="25"/>
      <c r="AC187" s="25"/>
      <c r="AD187" s="25"/>
      <c r="AE187" s="23"/>
      <c r="AF187" s="25"/>
      <c r="AG187" s="23">
        <v>-73.056331</v>
      </c>
      <c r="AH187" s="23">
        <v>6.8171819999999999</v>
      </c>
      <c r="AI187" s="13"/>
      <c r="AJ187" s="13">
        <f t="shared" si="37"/>
        <v>0.45900925925925934</v>
      </c>
      <c r="AK187" s="38">
        <f t="shared" si="38"/>
        <v>9.7295224095018909E-2</v>
      </c>
    </row>
    <row r="188" spans="3:37" ht="44.45" customHeight="1" x14ac:dyDescent="0.25">
      <c r="C188" s="25"/>
      <c r="D188" s="23" t="s">
        <v>286</v>
      </c>
      <c r="E188" s="23" t="s">
        <v>287</v>
      </c>
      <c r="F188" s="23">
        <v>5</v>
      </c>
      <c r="G188" s="25"/>
      <c r="H188" s="25"/>
      <c r="I188" s="25"/>
      <c r="J188" s="25"/>
      <c r="K188" s="25"/>
      <c r="L188" s="23"/>
      <c r="M188" s="25"/>
      <c r="N188" s="25"/>
      <c r="O188" s="23"/>
      <c r="P188" s="25"/>
      <c r="Q188" s="25"/>
      <c r="R188" s="25"/>
      <c r="S188" s="25"/>
      <c r="T188" s="23">
        <v>3</v>
      </c>
      <c r="U188" s="25"/>
      <c r="V188" s="25"/>
      <c r="W188" s="23">
        <v>9</v>
      </c>
      <c r="X188" s="23">
        <v>15</v>
      </c>
      <c r="Y188" s="25"/>
      <c r="Z188" s="25"/>
      <c r="AA188" s="25"/>
      <c r="AB188" s="25"/>
      <c r="AC188" s="25"/>
      <c r="AD188" s="25"/>
      <c r="AE188" s="23"/>
      <c r="AF188" s="25"/>
      <c r="AG188" s="23">
        <v>-73.051879999999997</v>
      </c>
      <c r="AH188" s="23">
        <v>6.8078770000000004</v>
      </c>
      <c r="AI188" s="13"/>
      <c r="AJ188" s="13">
        <f t="shared" si="37"/>
        <v>0.32854166666666673</v>
      </c>
      <c r="AK188" s="38">
        <f t="shared" si="38"/>
        <v>6.9640283802705275E-2</v>
      </c>
    </row>
    <row r="189" spans="3:37" ht="44.45" customHeight="1" x14ac:dyDescent="0.25">
      <c r="C189" s="25"/>
      <c r="D189" s="23" t="s">
        <v>288</v>
      </c>
      <c r="E189" s="23" t="s">
        <v>289</v>
      </c>
      <c r="F189" s="23">
        <v>2</v>
      </c>
      <c r="G189" s="25"/>
      <c r="H189" s="25"/>
      <c r="I189" s="25"/>
      <c r="J189" s="25"/>
      <c r="K189" s="25"/>
      <c r="L189" s="23">
        <v>1</v>
      </c>
      <c r="M189" s="25"/>
      <c r="N189" s="25"/>
      <c r="O189" s="23">
        <v>0.5</v>
      </c>
      <c r="P189" s="25"/>
      <c r="Q189" s="25"/>
      <c r="R189" s="25"/>
      <c r="S189" s="25"/>
      <c r="T189" s="25"/>
      <c r="U189" s="25"/>
      <c r="V189" s="25"/>
      <c r="W189" s="23">
        <v>3</v>
      </c>
      <c r="X189" s="23">
        <v>3</v>
      </c>
      <c r="Y189" s="25"/>
      <c r="Z189" s="25"/>
      <c r="AA189" s="25"/>
      <c r="AB189" s="25"/>
      <c r="AC189" s="25"/>
      <c r="AD189" s="25"/>
      <c r="AE189" s="23"/>
      <c r="AF189" s="25"/>
      <c r="AG189" s="23">
        <v>-73.057742000000005</v>
      </c>
      <c r="AH189" s="23">
        <v>6.8146490000000002</v>
      </c>
      <c r="AI189" s="13"/>
      <c r="AJ189" s="13">
        <f t="shared" si="37"/>
        <v>0.15751388888888893</v>
      </c>
      <c r="AK189" s="38">
        <f t="shared" si="38"/>
        <v>3.3387886645803451E-2</v>
      </c>
    </row>
    <row r="190" spans="3:37" ht="44.45" customHeight="1" x14ac:dyDescent="0.25">
      <c r="C190" s="25"/>
      <c r="D190" s="23" t="s">
        <v>290</v>
      </c>
      <c r="E190" s="23" t="s">
        <v>291</v>
      </c>
      <c r="F190" s="23">
        <v>0.3</v>
      </c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3">
        <v>2</v>
      </c>
      <c r="X190" s="23">
        <v>4</v>
      </c>
      <c r="Y190" s="25"/>
      <c r="Z190" s="25"/>
      <c r="AA190" s="25"/>
      <c r="AB190" s="25"/>
      <c r="AC190" s="25"/>
      <c r="AD190" s="25"/>
      <c r="AE190" s="23"/>
      <c r="AF190" s="25"/>
      <c r="AG190" s="23">
        <v>-73.058048999999997</v>
      </c>
      <c r="AH190" s="23">
        <v>6.8155809999999999</v>
      </c>
      <c r="AI190" s="13"/>
      <c r="AJ190" s="13">
        <f t="shared" si="37"/>
        <v>7.0092592592592593E-3</v>
      </c>
      <c r="AK190" s="38">
        <f t="shared" si="38"/>
        <v>1.4857378944169064E-3</v>
      </c>
    </row>
    <row r="191" spans="3:37" ht="44.45" customHeight="1" x14ac:dyDescent="0.25">
      <c r="C191" s="25"/>
      <c r="D191" s="23" t="s">
        <v>292</v>
      </c>
      <c r="E191" s="23" t="s">
        <v>293</v>
      </c>
      <c r="F191" s="23">
        <v>13</v>
      </c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3">
        <v>2</v>
      </c>
      <c r="X191" s="23">
        <v>2</v>
      </c>
      <c r="Y191" s="25"/>
      <c r="Z191" s="25"/>
      <c r="AA191" s="25"/>
      <c r="AB191" s="25"/>
      <c r="AC191" s="25"/>
      <c r="AD191" s="25"/>
      <c r="AE191" s="23">
        <v>12</v>
      </c>
      <c r="AF191" s="25"/>
      <c r="AG191" s="23">
        <v>-73.051329999999993</v>
      </c>
      <c r="AH191" s="23">
        <v>6.8076379999999999</v>
      </c>
      <c r="AI191" s="13"/>
      <c r="AJ191" s="13">
        <f t="shared" si="37"/>
        <v>5.0572592592592596E-3</v>
      </c>
      <c r="AK191" s="38">
        <f t="shared" si="38"/>
        <v>1.0719765734797935E-3</v>
      </c>
    </row>
    <row r="192" spans="3:37" ht="44.45" customHeight="1" x14ac:dyDescent="0.25">
      <c r="D192" s="20"/>
      <c r="E192" s="20"/>
      <c r="F192" s="20"/>
      <c r="W192" s="20"/>
      <c r="X192" s="20"/>
      <c r="AE192" s="20"/>
      <c r="AG192" s="20"/>
      <c r="AH192" s="20"/>
      <c r="AI192" s="49" t="s">
        <v>323</v>
      </c>
      <c r="AJ192" s="49">
        <f>SUM(AJ186:AJ191)</f>
        <v>1.0651898518518519</v>
      </c>
      <c r="AK192" s="51">
        <f>SUM(AK186:AK191)</f>
        <v>0.22578604515933914</v>
      </c>
    </row>
    <row r="193" spans="3:37" ht="44.45" customHeight="1" x14ac:dyDescent="0.25"/>
    <row r="194" spans="3:37" ht="44.45" customHeight="1" x14ac:dyDescent="0.25">
      <c r="C194" s="122" t="s">
        <v>324</v>
      </c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33"/>
      <c r="AG194" s="17"/>
      <c r="AH194" s="17"/>
      <c r="AI194" s="69">
        <v>1.9548241479433295</v>
      </c>
    </row>
    <row r="195" spans="3:37" ht="44.45" customHeight="1" x14ac:dyDescent="0.25">
      <c r="C195" s="23"/>
      <c r="D195" s="23" t="s">
        <v>294</v>
      </c>
      <c r="E195" s="23" t="s">
        <v>222</v>
      </c>
      <c r="F195" s="23">
        <v>56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>
        <v>7</v>
      </c>
      <c r="X195" s="23"/>
      <c r="Y195" s="23"/>
      <c r="Z195" s="23"/>
      <c r="AA195" s="23"/>
      <c r="AB195" s="23"/>
      <c r="AC195" s="23"/>
      <c r="AD195" s="23"/>
      <c r="AE195" s="23"/>
      <c r="AF195" s="23"/>
      <c r="AG195" s="23">
        <v>-73.069063999999997</v>
      </c>
      <c r="AH195" s="23">
        <v>6.8353210000000004</v>
      </c>
      <c r="AI195" s="13"/>
      <c r="AJ195" s="13">
        <f t="shared" ref="AJ195" si="39">($H195*0.0001)+(0.1*$I195)+($J195*0.1)+($K195*0.1)+($L195*0.1)+($M195*0.1)+($N195*0.1)+($O195*0.1)+($P195*0.1)+($V195*0.1)+($W195*(130/(3600*24)))+($X195*0.001)+($Z195*0.0006)+($AA195*0.002)+($AB195*0.0002)+($AE195*0.000004)+($AF195*0.0004)+($Q195*0.1)+($R195*0.1)+($S195*0.1)+($T195*0.1)+($U195*0.1)+($AC195*3.47222222222222E-09)+($AD195*1.15740740740741E-09)</f>
        <v>1.0532407407407407E-2</v>
      </c>
      <c r="AK195" s="38">
        <f>AJ195/$AI$194</f>
        <v>5.3879053103004443E-3</v>
      </c>
    </row>
    <row r="196" spans="3:37" ht="44.45" customHeight="1" x14ac:dyDescent="0.25"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49" t="s">
        <v>323</v>
      </c>
      <c r="AJ196" s="49">
        <f>AJ195</f>
        <v>1.0532407407407407E-2</v>
      </c>
      <c r="AK196" s="50">
        <f>AK195</f>
        <v>5.3879053103004443E-3</v>
      </c>
    </row>
    <row r="197" spans="3:37" ht="44.45" customHeight="1" x14ac:dyDescent="0.25">
      <c r="AI197" s="69">
        <v>1.3597382277177192</v>
      </c>
    </row>
    <row r="198" spans="3:37" ht="44.45" customHeight="1" x14ac:dyDescent="0.25">
      <c r="C198" s="122" t="s">
        <v>295</v>
      </c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33"/>
      <c r="AG198" s="17"/>
      <c r="AH198" s="17"/>
      <c r="AI198" s="7"/>
      <c r="AJ198" s="23"/>
      <c r="AK198" s="23"/>
    </row>
    <row r="199" spans="3:37" ht="44.45" customHeight="1" x14ac:dyDescent="0.25">
      <c r="C199" s="23"/>
      <c r="D199" s="23" t="s">
        <v>296</v>
      </c>
      <c r="E199" s="23" t="s">
        <v>297</v>
      </c>
      <c r="F199" s="23">
        <v>3.3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>
        <v>14</v>
      </c>
      <c r="X199" s="23">
        <v>10</v>
      </c>
      <c r="Y199" s="23"/>
      <c r="Z199" s="23"/>
      <c r="AA199" s="23"/>
      <c r="AB199" s="23"/>
      <c r="AC199" s="23"/>
      <c r="AD199" s="23"/>
      <c r="AE199" s="23"/>
      <c r="AF199" s="23"/>
      <c r="AG199" s="23">
        <v>-73.057254999999998</v>
      </c>
      <c r="AH199" s="23">
        <v>6.8182590000000003</v>
      </c>
      <c r="AI199" s="13"/>
      <c r="AJ199" s="13">
        <f t="shared" ref="AJ199:AJ204" si="40">($H199*0.0001)+(0.1*$I199)+($J199*0.1)+($K199*0.1)+($L199*0.1)+($M199*0.1)+($N199*0.1)+($O199*0.1)+($P199*0.1)+($V199*0.1)+($W199*(130/(3600*24)))+($X199*0.001)+($Z199*0.0006)+($AA199*0.002)+($AB199*0.0002)+($AE199*0.000004)+($AF199*0.0004)+($Q199*0.1)+($R199*0.1)+($S199*0.1)+($T199*0.1)+($U199*0.1)+($AC199*3.47222222222222E-09)+($AD199*1.15740740740741E-09)</f>
        <v>3.1064814814814816E-2</v>
      </c>
      <c r="AK199" s="38">
        <f>AJ199/$AI$197</f>
        <v>2.2846173021814794E-2</v>
      </c>
    </row>
    <row r="200" spans="3:37" ht="44.45" customHeight="1" x14ac:dyDescent="0.25">
      <c r="C200" s="23"/>
      <c r="D200" s="23" t="s">
        <v>298</v>
      </c>
      <c r="E200" s="23" t="s">
        <v>299</v>
      </c>
      <c r="F200" s="23">
        <v>4</v>
      </c>
      <c r="G200" s="23"/>
      <c r="H200" s="23"/>
      <c r="I200" s="23"/>
      <c r="J200" s="23"/>
      <c r="K200" s="23"/>
      <c r="L200" s="23">
        <v>1</v>
      </c>
      <c r="M200" s="23"/>
      <c r="N200" s="23"/>
      <c r="O200" s="23"/>
      <c r="P200" s="23"/>
      <c r="Q200" s="23"/>
      <c r="R200" s="23"/>
      <c r="S200" s="23"/>
      <c r="T200" s="23">
        <v>3</v>
      </c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>
        <v>-73.061893999999995</v>
      </c>
      <c r="AH200" s="23">
        <v>6.8161670000000001</v>
      </c>
      <c r="AI200" s="13"/>
      <c r="AJ200" s="13">
        <f t="shared" si="40"/>
        <v>0.4</v>
      </c>
      <c r="AK200" s="38">
        <f t="shared" ref="AK200:AK204" si="41">AJ200/$AI$197</f>
        <v>0.29417426961025306</v>
      </c>
    </row>
    <row r="201" spans="3:37" ht="44.45" customHeight="1" x14ac:dyDescent="0.25">
      <c r="C201" s="23"/>
      <c r="D201" s="23" t="s">
        <v>300</v>
      </c>
      <c r="E201" s="23" t="s">
        <v>301</v>
      </c>
      <c r="F201" s="23">
        <v>2</v>
      </c>
      <c r="G201" s="23"/>
      <c r="H201" s="23"/>
      <c r="I201" s="23"/>
      <c r="J201" s="23"/>
      <c r="K201" s="23"/>
      <c r="L201" s="23">
        <v>0.35</v>
      </c>
      <c r="M201" s="23"/>
      <c r="N201" s="23"/>
      <c r="O201" s="23"/>
      <c r="P201" s="23"/>
      <c r="Q201" s="23"/>
      <c r="R201" s="23"/>
      <c r="S201" s="23"/>
      <c r="T201" s="23">
        <v>0.35</v>
      </c>
      <c r="U201" s="23"/>
      <c r="V201" s="23"/>
      <c r="W201" s="23">
        <v>2</v>
      </c>
      <c r="X201" s="23">
        <v>3</v>
      </c>
      <c r="Y201" s="23"/>
      <c r="Z201" s="23"/>
      <c r="AA201" s="23"/>
      <c r="AB201" s="23">
        <v>2</v>
      </c>
      <c r="AC201" s="23"/>
      <c r="AD201" s="23"/>
      <c r="AE201" s="23">
        <v>4</v>
      </c>
      <c r="AF201" s="23">
        <v>24</v>
      </c>
      <c r="AG201" s="23">
        <v>-73.060728999999995</v>
      </c>
      <c r="AH201" s="23">
        <v>6.8134209999999999</v>
      </c>
      <c r="AI201" s="13"/>
      <c r="AJ201" s="13">
        <f t="shared" si="40"/>
        <v>8.6025259259259246E-2</v>
      </c>
      <c r="AK201" s="38">
        <f t="shared" si="41"/>
        <v>6.326604452656312E-2</v>
      </c>
    </row>
    <row r="202" spans="3:37" ht="44.45" customHeight="1" x14ac:dyDescent="0.25">
      <c r="C202" s="23"/>
      <c r="D202" s="23" t="s">
        <v>302</v>
      </c>
      <c r="E202" s="23" t="s">
        <v>303</v>
      </c>
      <c r="F202" s="23">
        <v>2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>
        <v>0.5</v>
      </c>
      <c r="T202" s="23">
        <v>1</v>
      </c>
      <c r="U202" s="23">
        <v>0.5</v>
      </c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>
        <v>-73.059676999999994</v>
      </c>
      <c r="AH202" s="23">
        <v>6.8124739999999999</v>
      </c>
      <c r="AI202" s="13"/>
      <c r="AJ202" s="13">
        <f t="shared" si="40"/>
        <v>0.2</v>
      </c>
      <c r="AK202" s="38">
        <f t="shared" si="41"/>
        <v>0.14708713480512653</v>
      </c>
    </row>
    <row r="203" spans="3:37" ht="44.45" customHeight="1" x14ac:dyDescent="0.25">
      <c r="C203" s="23"/>
      <c r="D203" s="23" t="s">
        <v>304</v>
      </c>
      <c r="E203" s="23" t="s">
        <v>305</v>
      </c>
      <c r="F203" s="23">
        <v>10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>
        <v>10</v>
      </c>
      <c r="X203" s="23">
        <v>8</v>
      </c>
      <c r="Y203" s="23"/>
      <c r="Z203" s="23">
        <v>42</v>
      </c>
      <c r="AA203" s="23"/>
      <c r="AB203" s="23"/>
      <c r="AC203" s="23"/>
      <c r="AD203" s="23"/>
      <c r="AE203" s="23"/>
      <c r="AF203" s="23"/>
      <c r="AG203" s="23">
        <v>-73.067729</v>
      </c>
      <c r="AH203" s="23">
        <v>6.8226240000000002</v>
      </c>
      <c r="AI203" s="13"/>
      <c r="AJ203" s="13">
        <f t="shared" si="40"/>
        <v>4.8246296296296294E-2</v>
      </c>
      <c r="AK203" s="38">
        <f t="shared" si="41"/>
        <v>3.5482047435907049E-2</v>
      </c>
    </row>
    <row r="204" spans="3:37" ht="44.45" customHeight="1" x14ac:dyDescent="0.25">
      <c r="C204" s="23"/>
      <c r="D204" s="23" t="s">
        <v>304</v>
      </c>
      <c r="E204" s="23" t="s">
        <v>306</v>
      </c>
      <c r="F204" s="23">
        <v>11.375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>
        <v>10</v>
      </c>
      <c r="X204" s="23">
        <v>5</v>
      </c>
      <c r="Y204" s="23"/>
      <c r="Z204" s="23">
        <v>43</v>
      </c>
      <c r="AA204" s="23"/>
      <c r="AB204" s="23"/>
      <c r="AC204" s="23"/>
      <c r="AD204" s="23"/>
      <c r="AE204" s="23"/>
      <c r="AF204" s="23"/>
      <c r="AG204" s="23">
        <v>-73.065888000000001</v>
      </c>
      <c r="AH204" s="23">
        <v>6.8206309999999997</v>
      </c>
      <c r="AI204" s="13"/>
      <c r="AJ204" s="13">
        <f t="shared" si="40"/>
        <v>4.5846296296296295E-2</v>
      </c>
      <c r="AK204" s="38">
        <f t="shared" si="41"/>
        <v>3.371700181824553E-2</v>
      </c>
    </row>
    <row r="205" spans="3:37" ht="44.45" customHeight="1" x14ac:dyDescent="0.25">
      <c r="AI205" s="23" t="s">
        <v>323</v>
      </c>
      <c r="AJ205" s="64">
        <f>SUM(AJ199:AJ204)</f>
        <v>0.81118266666666661</v>
      </c>
      <c r="AK205" s="37">
        <f>SUM(AK199:AK204)</f>
        <v>0.59657267121791002</v>
      </c>
    </row>
    <row r="206" spans="3:37" ht="44.45" customHeight="1" x14ac:dyDescent="0.25">
      <c r="C206" s="134" t="s">
        <v>307</v>
      </c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6"/>
      <c r="AI206" s="35">
        <v>13.299055810031332</v>
      </c>
    </row>
    <row r="207" spans="3:37" ht="44.45" customHeight="1" x14ac:dyDescent="0.25">
      <c r="C207" s="122" t="s">
        <v>308</v>
      </c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33"/>
      <c r="AG207" s="17"/>
      <c r="AH207" s="17"/>
      <c r="AI207" s="7"/>
      <c r="AJ207" s="23"/>
      <c r="AK207" s="23"/>
    </row>
    <row r="208" spans="3:37" ht="44.45" customHeight="1" x14ac:dyDescent="0.25">
      <c r="C208" s="23"/>
      <c r="D208" s="23" t="s">
        <v>309</v>
      </c>
      <c r="E208" s="23" t="s">
        <v>310</v>
      </c>
      <c r="F208" s="23">
        <v>2</v>
      </c>
      <c r="G208" s="23"/>
      <c r="H208" s="23"/>
      <c r="I208" s="23"/>
      <c r="J208" s="23"/>
      <c r="K208" s="23"/>
      <c r="L208" s="23"/>
      <c r="M208" s="23"/>
      <c r="N208" s="23"/>
      <c r="O208" s="23">
        <v>0.2</v>
      </c>
      <c r="P208" s="23"/>
      <c r="Q208" s="23"/>
      <c r="R208" s="23"/>
      <c r="S208" s="23"/>
      <c r="T208" s="23"/>
      <c r="U208" s="23"/>
      <c r="V208" s="23"/>
      <c r="W208" s="23">
        <v>2</v>
      </c>
      <c r="X208" s="23">
        <v>2</v>
      </c>
      <c r="Y208" s="23"/>
      <c r="Z208" s="23"/>
      <c r="AA208" s="23"/>
      <c r="AB208" s="23"/>
      <c r="AC208" s="23"/>
      <c r="AD208" s="23"/>
      <c r="AE208" s="23"/>
      <c r="AF208" s="23">
        <v>15</v>
      </c>
      <c r="AG208" s="23">
        <v>-73.077788999999996</v>
      </c>
      <c r="AH208" s="23">
        <v>6.8273539999999997</v>
      </c>
      <c r="AI208" s="13"/>
      <c r="AJ208" s="13">
        <f t="shared" ref="AJ208:AJ211" si="42">($H208*0.0001)+(0.1*$I208)+($J208*0.1)+($K208*0.1)+($L208*0.1)+($M208*0.1)+($N208*0.1)+($O208*0.1)+($P208*0.1)+($V208*0.1)+($W208*(130/(3600*24)))+($X208*0.001)+($Z208*0.0006)+($AA208*0.002)+($AB208*0.0002)+($AE208*0.000004)+($AF208*0.0004)+($Q208*0.1)+($R208*0.1)+($S208*0.1)+($T208*0.1)+($U208*0.1)+($AC208*3.47222222222222E-09)+($AD208*1.15740740740741E-09)</f>
        <v>3.1009259259259264E-2</v>
      </c>
      <c r="AK208" s="43">
        <f>AJ208/$AI$206</f>
        <v>2.3316887831893538E-3</v>
      </c>
    </row>
    <row r="209" spans="1:45" ht="44.45" customHeight="1" x14ac:dyDescent="0.25">
      <c r="C209" s="23"/>
      <c r="D209" s="23" t="s">
        <v>309</v>
      </c>
      <c r="E209" s="23" t="s">
        <v>311</v>
      </c>
      <c r="F209" s="23">
        <v>2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>
        <v>2</v>
      </c>
      <c r="X209" s="23"/>
      <c r="Y209" s="23"/>
      <c r="Z209" s="23"/>
      <c r="AA209" s="23"/>
      <c r="AB209" s="23"/>
      <c r="AC209" s="23"/>
      <c r="AD209" s="23"/>
      <c r="AE209" s="23"/>
      <c r="AF209" s="23"/>
      <c r="AG209" s="23">
        <v>-73.078130999999999</v>
      </c>
      <c r="AH209" s="23">
        <v>6.8282600000000002</v>
      </c>
      <c r="AI209" s="13"/>
      <c r="AJ209" s="13">
        <f t="shared" si="42"/>
        <v>3.0092592592592593E-3</v>
      </c>
      <c r="AK209" s="43">
        <f t="shared" ref="AK209:AK210" si="43">AJ209/$AI$206</f>
        <v>2.2627615841640489E-4</v>
      </c>
    </row>
    <row r="210" spans="1:45" ht="44.45" customHeight="1" x14ac:dyDescent="0.25">
      <c r="C210" s="23"/>
      <c r="D210" s="23" t="s">
        <v>312</v>
      </c>
      <c r="E210" s="23" t="s">
        <v>313</v>
      </c>
      <c r="F210" s="23">
        <v>4.87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>
        <v>20</v>
      </c>
      <c r="X210" s="23">
        <v>10</v>
      </c>
      <c r="Y210" s="23"/>
      <c r="Z210" s="23">
        <v>5</v>
      </c>
      <c r="AA210" s="23"/>
      <c r="AB210" s="23"/>
      <c r="AC210" s="23"/>
      <c r="AD210" s="23"/>
      <c r="AE210" s="23"/>
      <c r="AF210" s="23"/>
      <c r="AG210" s="23">
        <v>4991388.12414</v>
      </c>
      <c r="AH210" s="23">
        <v>2311903.0109700002</v>
      </c>
      <c r="AI210" s="13"/>
      <c r="AJ210" s="13">
        <f t="shared" si="42"/>
        <v>4.3092592592592599E-2</v>
      </c>
      <c r="AK210" s="43">
        <f t="shared" si="43"/>
        <v>3.2402745885229184E-3</v>
      </c>
    </row>
    <row r="211" spans="1:45" ht="44.45" customHeight="1" x14ac:dyDescent="0.25">
      <c r="C211" s="23"/>
      <c r="D211" s="23" t="s">
        <v>312</v>
      </c>
      <c r="E211" s="23" t="s">
        <v>314</v>
      </c>
      <c r="F211" s="23">
        <v>18.2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>
        <v>20</v>
      </c>
      <c r="X211" s="23">
        <v>0</v>
      </c>
      <c r="Y211" s="23"/>
      <c r="Z211" s="23"/>
      <c r="AA211" s="23"/>
      <c r="AB211" s="23"/>
      <c r="AC211" s="23"/>
      <c r="AD211" s="23"/>
      <c r="AE211" s="23"/>
      <c r="AF211" s="23"/>
      <c r="AG211" s="23">
        <v>4991388.12414</v>
      </c>
      <c r="AH211" s="23">
        <v>2311903.0109700002</v>
      </c>
      <c r="AI211" s="13"/>
      <c r="AJ211" s="13">
        <f t="shared" si="42"/>
        <v>3.0092592592592594E-2</v>
      </c>
      <c r="AK211" s="43">
        <f>AJ211/$AI$206</f>
        <v>2.262761584164049E-3</v>
      </c>
    </row>
    <row r="212" spans="1:45" ht="44.45" customHeight="1" x14ac:dyDescent="0.25"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65" t="s">
        <v>323</v>
      </c>
      <c r="AJ212" s="66">
        <f>SUM(AJ208:AJ211)</f>
        <v>0.10720370370370372</v>
      </c>
      <c r="AK212" s="63">
        <f>SUM(AK208:AK211)</f>
        <v>8.0610011142927263E-3</v>
      </c>
    </row>
    <row r="213" spans="1:45" ht="44.45" customHeight="1" x14ac:dyDescent="0.25">
      <c r="AI213" s="40">
        <v>26.350274905787607</v>
      </c>
    </row>
    <row r="214" spans="1:45" ht="44.45" customHeight="1" x14ac:dyDescent="0.25">
      <c r="C214" s="116" t="s">
        <v>315</v>
      </c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7"/>
      <c r="AH214" s="17"/>
      <c r="AI214" s="7"/>
      <c r="AJ214" s="23"/>
      <c r="AK214" s="23"/>
    </row>
    <row r="215" spans="1:45" ht="44.45" customHeight="1" x14ac:dyDescent="0.25">
      <c r="C215" s="23"/>
      <c r="D215" s="23" t="s">
        <v>316</v>
      </c>
      <c r="E215" s="23" t="s">
        <v>317</v>
      </c>
      <c r="F215" s="23">
        <v>0.25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>
        <v>2</v>
      </c>
      <c r="X215" s="23">
        <v>3</v>
      </c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13"/>
      <c r="AJ215" s="13">
        <f t="shared" ref="AJ215:AJ218" si="44">($H215*0.0001)+(0.1*$I215)+($J215*0.1)+($K215*0.1)+($L215*0.1)+($M215*0.1)+($N215*0.1)+($O215*0.1)+($P215*0.1)+($V215*0.1)+($W215*(130/(3600*24)))+($X215*0.001)+($Z215*0.0006)+($AA215*0.002)+($AB215*0.0002)+($AE215*0.000004)+($AF215*0.0004)+($Q215*0.1)+($R215*0.1)+($S215*0.1)+($T215*0.1)+($U215*0.1)+($AC215*3.47222222222222E-09)+($AD215*1.15740740740741E-09)</f>
        <v>6.0092592592592593E-3</v>
      </c>
      <c r="AK215" s="43">
        <f>AJ215/$AI$213</f>
        <v>2.2805300061364361E-4</v>
      </c>
    </row>
    <row r="216" spans="1:45" ht="44.45" customHeight="1" x14ac:dyDescent="0.25">
      <c r="C216" s="23"/>
      <c r="D216" s="23" t="s">
        <v>318</v>
      </c>
      <c r="E216" s="23" t="s">
        <v>319</v>
      </c>
      <c r="F216" s="23">
        <v>12.954000000000001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>
        <v>16</v>
      </c>
      <c r="X216" s="23">
        <v>5</v>
      </c>
      <c r="Y216" s="23"/>
      <c r="Z216" s="23"/>
      <c r="AA216" s="23"/>
      <c r="AB216" s="23"/>
      <c r="AC216" s="23"/>
      <c r="AD216" s="23"/>
      <c r="AE216" s="23">
        <v>200</v>
      </c>
      <c r="AF216" s="23"/>
      <c r="AG216" s="23"/>
      <c r="AH216" s="23"/>
      <c r="AI216" s="13"/>
      <c r="AJ216" s="13">
        <f t="shared" si="44"/>
        <v>2.9874074074074074E-2</v>
      </c>
      <c r="AK216" s="43">
        <f>AJ216/$AI$213</f>
        <v>1.1337291235436976E-3</v>
      </c>
    </row>
    <row r="217" spans="1:45" ht="44.45" customHeight="1" x14ac:dyDescent="0.25">
      <c r="C217" s="23"/>
      <c r="D217" s="23" t="s">
        <v>320</v>
      </c>
      <c r="E217" s="23" t="s">
        <v>321</v>
      </c>
      <c r="F217" s="23">
        <v>5.5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>
        <v>6</v>
      </c>
      <c r="X217" s="23">
        <v>15</v>
      </c>
      <c r="Y217" s="23"/>
      <c r="Z217" s="23">
        <v>30</v>
      </c>
      <c r="AA217" s="23"/>
      <c r="AB217" s="23"/>
      <c r="AC217" s="23"/>
      <c r="AD217" s="23"/>
      <c r="AE217" s="23">
        <v>83000</v>
      </c>
      <c r="AF217" s="23"/>
      <c r="AG217" s="23"/>
      <c r="AH217" s="23"/>
      <c r="AI217" s="13"/>
      <c r="AJ217" s="13">
        <f t="shared" si="44"/>
        <v>0.37402777777777774</v>
      </c>
      <c r="AK217" s="43">
        <f>AJ217/$AI$213</f>
        <v>1.4194454483494812E-2</v>
      </c>
    </row>
    <row r="218" spans="1:45" ht="44.45" customHeight="1" x14ac:dyDescent="0.25">
      <c r="C218" s="23"/>
      <c r="D218" s="23" t="s">
        <v>221</v>
      </c>
      <c r="E218" s="23" t="s">
        <v>322</v>
      </c>
      <c r="F218" s="23">
        <v>56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13"/>
      <c r="AJ218" s="13">
        <f t="shared" si="44"/>
        <v>0</v>
      </c>
      <c r="AK218" s="43">
        <f>AJ218/$AI$213</f>
        <v>0</v>
      </c>
    </row>
    <row r="219" spans="1:45" ht="44.45" customHeight="1" x14ac:dyDescent="0.25">
      <c r="AI219" s="65" t="s">
        <v>323</v>
      </c>
      <c r="AJ219" s="66">
        <f>SUM(AJ215:AJ218)</f>
        <v>0.40991111111111106</v>
      </c>
      <c r="AK219" s="63">
        <f>SUM(AK215:AK218)</f>
        <v>1.5556236607652154E-2</v>
      </c>
    </row>
    <row r="220" spans="1:45" ht="39.75" customHeight="1" x14ac:dyDescent="0.25"/>
    <row r="221" spans="1:45" ht="39.75" customHeight="1" x14ac:dyDescent="0.25">
      <c r="A221" s="126" t="s">
        <v>31</v>
      </c>
      <c r="B221" s="126" t="s">
        <v>32</v>
      </c>
      <c r="C221" s="127" t="s">
        <v>0</v>
      </c>
      <c r="D221" s="128" t="s">
        <v>1</v>
      </c>
      <c r="E221" s="128" t="s">
        <v>2</v>
      </c>
      <c r="F221" s="129" t="s">
        <v>3</v>
      </c>
      <c r="G221" s="116" t="s">
        <v>4</v>
      </c>
      <c r="H221" s="124" t="s">
        <v>5</v>
      </c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16" t="s">
        <v>6</v>
      </c>
      <c r="AC221" s="116" t="s">
        <v>7</v>
      </c>
      <c r="AD221" s="124" t="s">
        <v>8</v>
      </c>
      <c r="AE221" s="124" t="s">
        <v>9</v>
      </c>
      <c r="AF221" s="124"/>
      <c r="AG221" s="124"/>
      <c r="AH221" s="124"/>
      <c r="AI221" s="124"/>
      <c r="AJ221" s="124"/>
      <c r="AK221" s="124"/>
      <c r="AL221" s="124"/>
      <c r="AM221" s="124"/>
      <c r="AN221" s="124" t="s">
        <v>30</v>
      </c>
      <c r="AO221" s="125" t="s">
        <v>10</v>
      </c>
      <c r="AP221" s="125"/>
      <c r="AQ221" s="116" t="s">
        <v>11</v>
      </c>
      <c r="AR221" s="116" t="s">
        <v>12</v>
      </c>
      <c r="AS221" s="116" t="s">
        <v>13</v>
      </c>
    </row>
    <row r="222" spans="1:45" ht="39.75" customHeight="1" x14ac:dyDescent="0.25">
      <c r="A222" s="126"/>
      <c r="B222" s="126"/>
      <c r="C222" s="127"/>
      <c r="D222" s="128"/>
      <c r="E222" s="128"/>
      <c r="F222" s="129"/>
      <c r="G222" s="116"/>
      <c r="H222" s="19" t="s">
        <v>326</v>
      </c>
      <c r="I222" s="19" t="s">
        <v>69</v>
      </c>
      <c r="J222" s="19" t="s">
        <v>327</v>
      </c>
      <c r="K222" s="19" t="s">
        <v>70</v>
      </c>
      <c r="L222" s="19" t="s">
        <v>328</v>
      </c>
      <c r="M222" s="19" t="s">
        <v>71</v>
      </c>
      <c r="N222" s="19" t="s">
        <v>329</v>
      </c>
      <c r="O222" s="19" t="s">
        <v>72</v>
      </c>
      <c r="P222" s="19" t="s">
        <v>73</v>
      </c>
      <c r="Q222" s="19" t="s">
        <v>330</v>
      </c>
      <c r="R222" s="19" t="s">
        <v>331</v>
      </c>
      <c r="S222" s="19" t="s">
        <v>121</v>
      </c>
      <c r="T222" s="19" t="s">
        <v>16</v>
      </c>
      <c r="U222" s="19" t="s">
        <v>332</v>
      </c>
      <c r="V222" s="19" t="s">
        <v>122</v>
      </c>
      <c r="W222" s="19" t="s">
        <v>333</v>
      </c>
      <c r="X222" s="19" t="s">
        <v>170</v>
      </c>
      <c r="Y222" s="19" t="s">
        <v>152</v>
      </c>
      <c r="Z222" s="19" t="s">
        <v>14</v>
      </c>
      <c r="AA222" s="19" t="s">
        <v>334</v>
      </c>
      <c r="AB222" s="116"/>
      <c r="AC222" s="116"/>
      <c r="AD222" s="124"/>
      <c r="AE222" s="19" t="s">
        <v>19</v>
      </c>
      <c r="AF222" s="19" t="s">
        <v>335</v>
      </c>
      <c r="AG222" s="19" t="s">
        <v>336</v>
      </c>
      <c r="AH222" s="19" t="s">
        <v>337</v>
      </c>
      <c r="AI222" s="19" t="s">
        <v>21</v>
      </c>
      <c r="AJ222" s="19" t="s">
        <v>338</v>
      </c>
      <c r="AK222" s="19" t="s">
        <v>192</v>
      </c>
      <c r="AL222" s="19" t="s">
        <v>193</v>
      </c>
      <c r="AM222" s="19" t="s">
        <v>339</v>
      </c>
      <c r="AN222" s="124"/>
      <c r="AO222" s="2" t="s">
        <v>24</v>
      </c>
      <c r="AP222" s="2" t="s">
        <v>23</v>
      </c>
      <c r="AQ222" s="116"/>
      <c r="AR222" s="116"/>
      <c r="AS222" s="116"/>
    </row>
    <row r="223" spans="1:45" ht="39.75" customHeight="1" x14ac:dyDescent="0.25">
      <c r="A223" s="117">
        <v>1</v>
      </c>
      <c r="B223" s="118">
        <v>1</v>
      </c>
      <c r="C223" s="130" t="s">
        <v>486</v>
      </c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  <c r="AF223" s="131"/>
      <c r="AG223" s="131"/>
      <c r="AH223" s="131"/>
      <c r="AI223" s="131"/>
      <c r="AJ223" s="131"/>
      <c r="AK223" s="131"/>
      <c r="AL223" s="131"/>
      <c r="AM223" s="131"/>
      <c r="AN223" s="131"/>
      <c r="AO223" s="132"/>
      <c r="AP223" s="132"/>
      <c r="AQ223" s="34">
        <v>1.6446914935707793</v>
      </c>
      <c r="AR223" s="5"/>
      <c r="AS223" s="6"/>
    </row>
    <row r="224" spans="1:45" ht="39.75" customHeight="1" x14ac:dyDescent="0.25">
      <c r="A224" s="117"/>
      <c r="B224" s="118"/>
      <c r="C224" s="122" t="s">
        <v>461</v>
      </c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7"/>
      <c r="AP224" s="18"/>
      <c r="AQ224" s="7"/>
      <c r="AR224" s="8"/>
      <c r="AS224" s="4"/>
    </row>
    <row r="225" spans="1:45" ht="39.75" customHeight="1" x14ac:dyDescent="0.25">
      <c r="A225" s="117"/>
      <c r="B225" s="118"/>
      <c r="C225" s="1">
        <v>1</v>
      </c>
      <c r="D225" s="70" t="s">
        <v>325</v>
      </c>
      <c r="E225" s="71"/>
      <c r="F225" s="72">
        <v>1</v>
      </c>
      <c r="G225" s="15"/>
      <c r="H225" s="16"/>
      <c r="I225" s="16"/>
      <c r="J225" s="16"/>
      <c r="K225" s="16"/>
      <c r="L225" s="73"/>
      <c r="M225" s="73"/>
      <c r="N225" s="73"/>
      <c r="O225" s="73">
        <v>0.25</v>
      </c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4">
        <v>5</v>
      </c>
      <c r="AC225" s="75">
        <v>3</v>
      </c>
      <c r="AD225" s="74"/>
      <c r="AE225" s="75"/>
      <c r="AF225" s="5"/>
      <c r="AG225" s="8"/>
      <c r="AH225" s="8"/>
      <c r="AI225" s="8"/>
      <c r="AJ225" s="8">
        <v>200</v>
      </c>
      <c r="AK225" s="8"/>
      <c r="AL225" s="8"/>
      <c r="AM225" s="8"/>
      <c r="AN225" s="8"/>
      <c r="AO225" s="76">
        <v>-73.08300789499998</v>
      </c>
      <c r="AP225" s="77">
        <v>6.7902762040000653</v>
      </c>
      <c r="AQ225" s="13"/>
      <c r="AR225" s="97">
        <f>$H225*0.1+$I225*0.1+$J225*0.1+$K225*0.1+$L225*0.1+$M225*0.1+$N225*0.1+$P225*0.1+$O225*0.1+$Q225*0.1+$R225*0.1+$S225*0.1+$T225*0.1+$U225*0.1+$V225*0.1+$W225*0.1+$X225*0.1+$Y225*0.1+$Z225*0.0001+$AA225*0.1+$AB225*(130/(3600*24))+$AC225*0.001+$AE225*0.0006+$AF225*0.002+$AG225*0.0006+$AH225*0.0002+$AI225*0.0002+$AJ225*0.000004+$AN225*0.0004</f>
        <v>3.6323148148148153E-2</v>
      </c>
      <c r="AS225" s="14">
        <f>AR225/AQ223</f>
        <v>2.2085083001972119E-2</v>
      </c>
    </row>
    <row r="226" spans="1:45" ht="39.75" customHeight="1" x14ac:dyDescent="0.25">
      <c r="A226" s="79"/>
      <c r="B226" s="2"/>
      <c r="C226" s="113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5"/>
      <c r="AQ226" s="78"/>
      <c r="AR226" s="7">
        <f>AR225</f>
        <v>3.6323148148148153E-2</v>
      </c>
      <c r="AS226" s="80">
        <f>AS225</f>
        <v>2.2085083001972119E-2</v>
      </c>
    </row>
    <row r="227" spans="1:45" ht="44.45" customHeight="1" x14ac:dyDescent="0.25"/>
    <row r="228" spans="1:45" ht="44.45" customHeight="1" x14ac:dyDescent="0.25"/>
    <row r="229" spans="1:45" ht="33.75" customHeight="1" x14ac:dyDescent="0.25">
      <c r="A229" s="126" t="s">
        <v>31</v>
      </c>
      <c r="B229" s="126" t="s">
        <v>32</v>
      </c>
      <c r="C229" s="127" t="s">
        <v>0</v>
      </c>
      <c r="D229" s="128" t="s">
        <v>1</v>
      </c>
      <c r="E229" s="128" t="s">
        <v>2</v>
      </c>
      <c r="F229" s="129" t="s">
        <v>3</v>
      </c>
      <c r="G229" s="116" t="s">
        <v>4</v>
      </c>
      <c r="H229" s="124" t="s">
        <v>5</v>
      </c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16" t="s">
        <v>6</v>
      </c>
      <c r="AC229" s="116" t="s">
        <v>7</v>
      </c>
      <c r="AD229" s="124" t="s">
        <v>8</v>
      </c>
      <c r="AE229" s="124" t="s">
        <v>9</v>
      </c>
      <c r="AF229" s="124"/>
      <c r="AG229" s="124"/>
      <c r="AH229" s="124"/>
      <c r="AI229" s="124"/>
      <c r="AJ229" s="124"/>
      <c r="AK229" s="124"/>
      <c r="AL229" s="124"/>
      <c r="AM229" s="124"/>
      <c r="AN229" s="124" t="s">
        <v>30</v>
      </c>
      <c r="AO229" s="125" t="s">
        <v>10</v>
      </c>
      <c r="AP229" s="125"/>
      <c r="AQ229" s="116" t="s">
        <v>11</v>
      </c>
      <c r="AR229" s="116" t="s">
        <v>12</v>
      </c>
      <c r="AS229" s="116" t="s">
        <v>13</v>
      </c>
    </row>
    <row r="230" spans="1:45" ht="63.75" customHeight="1" x14ac:dyDescent="0.25">
      <c r="A230" s="126"/>
      <c r="B230" s="126"/>
      <c r="C230" s="127"/>
      <c r="D230" s="128"/>
      <c r="E230" s="128"/>
      <c r="F230" s="129"/>
      <c r="G230" s="116"/>
      <c r="H230" s="19" t="s">
        <v>326</v>
      </c>
      <c r="I230" s="19" t="s">
        <v>69</v>
      </c>
      <c r="J230" s="19" t="s">
        <v>327</v>
      </c>
      <c r="K230" s="19" t="s">
        <v>70</v>
      </c>
      <c r="L230" s="19" t="s">
        <v>328</v>
      </c>
      <c r="M230" s="19" t="s">
        <v>71</v>
      </c>
      <c r="N230" s="19" t="s">
        <v>329</v>
      </c>
      <c r="O230" s="19" t="s">
        <v>72</v>
      </c>
      <c r="P230" s="19" t="s">
        <v>73</v>
      </c>
      <c r="Q230" s="19" t="s">
        <v>330</v>
      </c>
      <c r="R230" s="19" t="s">
        <v>331</v>
      </c>
      <c r="S230" s="19" t="s">
        <v>121</v>
      </c>
      <c r="T230" s="19" t="s">
        <v>16</v>
      </c>
      <c r="U230" s="19" t="s">
        <v>332</v>
      </c>
      <c r="V230" s="19" t="s">
        <v>122</v>
      </c>
      <c r="W230" s="19" t="s">
        <v>333</v>
      </c>
      <c r="X230" s="19" t="s">
        <v>170</v>
      </c>
      <c r="Y230" s="19" t="s">
        <v>152</v>
      </c>
      <c r="Z230" s="19" t="s">
        <v>14</v>
      </c>
      <c r="AA230" s="19" t="s">
        <v>334</v>
      </c>
      <c r="AB230" s="116"/>
      <c r="AC230" s="116"/>
      <c r="AD230" s="124"/>
      <c r="AE230" s="19" t="s">
        <v>19</v>
      </c>
      <c r="AF230" s="19" t="s">
        <v>335</v>
      </c>
      <c r="AG230" s="19" t="s">
        <v>336</v>
      </c>
      <c r="AH230" s="19" t="s">
        <v>337</v>
      </c>
      <c r="AI230" s="19" t="s">
        <v>21</v>
      </c>
      <c r="AJ230" s="19" t="s">
        <v>338</v>
      </c>
      <c r="AK230" s="19" t="s">
        <v>192</v>
      </c>
      <c r="AL230" s="19" t="s">
        <v>193</v>
      </c>
      <c r="AM230" s="19" t="s">
        <v>339</v>
      </c>
      <c r="AN230" s="124"/>
      <c r="AO230" s="2" t="s">
        <v>24</v>
      </c>
      <c r="AP230" s="2" t="s">
        <v>23</v>
      </c>
      <c r="AQ230" s="116"/>
      <c r="AR230" s="116"/>
      <c r="AS230" s="116"/>
    </row>
    <row r="231" spans="1:45" ht="26.25" customHeight="1" x14ac:dyDescent="0.25">
      <c r="A231" s="117">
        <v>2</v>
      </c>
      <c r="B231" s="118">
        <v>2</v>
      </c>
      <c r="C231" s="122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33"/>
      <c r="AQ231" s="34">
        <v>4.6456310870743778</v>
      </c>
      <c r="AR231" s="5"/>
      <c r="AS231" s="6"/>
    </row>
    <row r="232" spans="1:45" ht="27.75" customHeight="1" x14ac:dyDescent="0.25">
      <c r="A232" s="117"/>
      <c r="B232" s="118"/>
      <c r="C232" s="122" t="s">
        <v>462</v>
      </c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7"/>
      <c r="AP232" s="18"/>
      <c r="AQ232" s="7"/>
      <c r="AR232" s="8"/>
      <c r="AS232" s="4"/>
    </row>
    <row r="233" spans="1:45" ht="36" customHeight="1" x14ac:dyDescent="0.25">
      <c r="A233" s="117"/>
      <c r="B233" s="118"/>
      <c r="C233" s="1">
        <v>1</v>
      </c>
      <c r="D233" s="70" t="s">
        <v>340</v>
      </c>
      <c r="E233" s="71"/>
      <c r="F233" s="72">
        <v>16.836300000000001</v>
      </c>
      <c r="G233" s="15"/>
      <c r="H233" s="16"/>
      <c r="I233" s="16"/>
      <c r="J233" s="16"/>
      <c r="K233" s="16"/>
      <c r="L233" s="73"/>
      <c r="M233" s="73"/>
      <c r="N233" s="73"/>
      <c r="O233" s="73"/>
      <c r="P233" s="73"/>
      <c r="Q233" s="73"/>
      <c r="R233" s="73">
        <f>0.3*0.5</f>
        <v>0.15</v>
      </c>
      <c r="S233" s="73"/>
      <c r="T233" s="73"/>
      <c r="U233" s="73"/>
      <c r="V233" s="73"/>
      <c r="W233" s="73"/>
      <c r="X233" s="73"/>
      <c r="Y233" s="73">
        <f>0.2*0.5</f>
        <v>0.1</v>
      </c>
      <c r="Z233" s="73"/>
      <c r="AA233" s="73"/>
      <c r="AB233" s="74">
        <v>1</v>
      </c>
      <c r="AC233" s="75"/>
      <c r="AD233" s="74"/>
      <c r="AE233" s="75"/>
      <c r="AF233" s="5"/>
      <c r="AG233" s="8"/>
      <c r="AH233" s="8"/>
      <c r="AI233" s="8"/>
      <c r="AJ233" s="8"/>
      <c r="AK233" s="8"/>
      <c r="AL233" s="8"/>
      <c r="AM233" s="8"/>
      <c r="AN233" s="8"/>
      <c r="AO233" s="76">
        <v>-73.081354307999959</v>
      </c>
      <c r="AP233" s="77">
        <v>6.7826345750000314</v>
      </c>
      <c r="AQ233" s="13"/>
      <c r="AR233" s="64">
        <f>$H233*0.1+$I233*0.1+$J233*0.1+$K233*0.1+$L233*0.1+$M233*0.1+$N233*0.1+$P233*0.1+$O233*0.1+$Q233*0.1+$R233*0.1+$S233*0.1+$T233*0.1+$U233*0.1+$V233*0.1+$W233*0.1+$X233*0.1+$Y233*0.1+$Z233*0.0001+$AA233*0.1+$AB233*(130/(3600*24))+$AC233*0.001+$AE233*0.0006+$AF233*0.002+$AG233*0.0006+$AH233*0.0002+$AI233*0.0002+$AJ233*0.000004+$AN233*0.0004</f>
        <v>2.6504629629629631E-2</v>
      </c>
      <c r="AS233" s="14">
        <f>AR233/$AQ$231</f>
        <v>5.7052807536469982E-3</v>
      </c>
    </row>
    <row r="234" spans="1:45" ht="36" customHeight="1" x14ac:dyDescent="0.25">
      <c r="A234" s="117"/>
      <c r="B234" s="118"/>
      <c r="C234" s="1">
        <v>2</v>
      </c>
      <c r="D234" s="70" t="s">
        <v>341</v>
      </c>
      <c r="E234" s="71"/>
      <c r="F234" s="72">
        <v>4</v>
      </c>
      <c r="G234" s="15"/>
      <c r="H234" s="16"/>
      <c r="I234" s="16"/>
      <c r="J234" s="16"/>
      <c r="K234" s="16"/>
      <c r="L234" s="73"/>
      <c r="M234" s="73"/>
      <c r="N234" s="73"/>
      <c r="O234" s="73">
        <f>1*0.5</f>
        <v>0.5</v>
      </c>
      <c r="P234" s="73"/>
      <c r="Q234" s="73">
        <f>1*0.5</f>
        <v>0.5</v>
      </c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4">
        <v>3</v>
      </c>
      <c r="AC234" s="75">
        <v>2</v>
      </c>
      <c r="AD234" s="74"/>
      <c r="AE234" s="75">
        <v>2</v>
      </c>
      <c r="AF234" s="5"/>
      <c r="AG234" s="8"/>
      <c r="AH234" s="8">
        <v>2</v>
      </c>
      <c r="AI234" s="8"/>
      <c r="AJ234" s="8"/>
      <c r="AK234" s="8"/>
      <c r="AL234" s="8"/>
      <c r="AM234" s="8"/>
      <c r="AN234" s="8"/>
      <c r="AO234" s="76">
        <v>-73.080558809999957</v>
      </c>
      <c r="AP234" s="77">
        <v>6.7889800300000616</v>
      </c>
      <c r="AQ234" s="13"/>
      <c r="AR234" s="64">
        <f t="shared" ref="AR234:AR254" si="45">$H234*0.1+$I234*0.1+$J234*0.1+$K234*0.1+$L234*0.1+$M234*0.1+$N234*0.1+$P234*0.1+$O234*0.1+$Q234*0.1+$R234*0.1+$S234*0.1+$T234*0.1+$U234*0.1+$V234*0.1+$W234*0.1+$X234*0.1+$Y234*0.1+$Z234*0.0001+$AA234*0.1+$AB234*(130/(3600*24))+$AC234*0.001+$AE234*0.0006+$AF234*0.002+$AG234*0.0006+$AH234*0.0002+$AI234*0.0002+$AJ234*0.000004+$AN234*0.0004</f>
        <v>0.1081138888888889</v>
      </c>
      <c r="AS234" s="14">
        <f t="shared" ref="AS234:AS254" si="46">AR234/$AQ$231</f>
        <v>2.327216407469291E-2</v>
      </c>
    </row>
    <row r="235" spans="1:45" ht="36" customHeight="1" x14ac:dyDescent="0.25">
      <c r="A235" s="117"/>
      <c r="B235" s="118"/>
      <c r="C235" s="1">
        <v>3</v>
      </c>
      <c r="D235" s="70" t="s">
        <v>342</v>
      </c>
      <c r="E235" s="71"/>
      <c r="F235" s="72">
        <v>8</v>
      </c>
      <c r="G235" s="15"/>
      <c r="H235" s="16"/>
      <c r="I235" s="16"/>
      <c r="J235" s="16"/>
      <c r="K235" s="16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>
        <f>7*0.5</f>
        <v>3.5</v>
      </c>
      <c r="AB235" s="74">
        <v>4</v>
      </c>
      <c r="AC235" s="75">
        <v>5</v>
      </c>
      <c r="AD235" s="74"/>
      <c r="AE235" s="75"/>
      <c r="AF235" s="5"/>
      <c r="AG235" s="8"/>
      <c r="AH235" s="8"/>
      <c r="AI235" s="8">
        <v>1</v>
      </c>
      <c r="AJ235" s="8"/>
      <c r="AK235" s="8"/>
      <c r="AL235" s="8"/>
      <c r="AM235" s="8"/>
      <c r="AN235" s="8"/>
      <c r="AO235" s="76">
        <v>-73.084653744999969</v>
      </c>
      <c r="AP235" s="77">
        <v>6.7838818510000456</v>
      </c>
      <c r="AQ235" s="13"/>
      <c r="AR235" s="64">
        <f t="shared" si="45"/>
        <v>0.36121851851851855</v>
      </c>
      <c r="AS235" s="14">
        <f t="shared" si="46"/>
        <v>7.7754456121912757E-2</v>
      </c>
    </row>
    <row r="236" spans="1:45" ht="36" customHeight="1" x14ac:dyDescent="0.25">
      <c r="A236" s="117"/>
      <c r="B236" s="118"/>
      <c r="C236" s="1">
        <v>4</v>
      </c>
      <c r="D236" s="70" t="s">
        <v>343</v>
      </c>
      <c r="E236" s="71"/>
      <c r="F236" s="72">
        <v>28.8</v>
      </c>
      <c r="G236" s="15"/>
      <c r="H236" s="16"/>
      <c r="I236" s="16">
        <f>2*0.5</f>
        <v>1</v>
      </c>
      <c r="J236" s="16"/>
      <c r="K236" s="16"/>
      <c r="L236" s="73"/>
      <c r="M236" s="73"/>
      <c r="N236" s="73"/>
      <c r="O236" s="73">
        <f>3*0.5</f>
        <v>1.5</v>
      </c>
      <c r="P236" s="73"/>
      <c r="Q236" s="73">
        <f>1*0.5</f>
        <v>0.5</v>
      </c>
      <c r="R236" s="73">
        <f>2.5*0.5</f>
        <v>1.25</v>
      </c>
      <c r="S236" s="73"/>
      <c r="T236" s="73"/>
      <c r="U236" s="73"/>
      <c r="V236" s="73"/>
      <c r="W236" s="73"/>
      <c r="X236" s="73"/>
      <c r="Y236" s="73"/>
      <c r="Z236" s="73"/>
      <c r="AA236" s="73"/>
      <c r="AB236" s="74">
        <v>11</v>
      </c>
      <c r="AC236" s="75">
        <v>4</v>
      </c>
      <c r="AD236" s="74"/>
      <c r="AE236" s="75"/>
      <c r="AF236" s="5"/>
      <c r="AG236" s="8">
        <v>2</v>
      </c>
      <c r="AH236" s="8">
        <v>8</v>
      </c>
      <c r="AI236" s="8"/>
      <c r="AJ236" s="8">
        <v>120</v>
      </c>
      <c r="AK236" s="8"/>
      <c r="AL236" s="8"/>
      <c r="AM236" s="8"/>
      <c r="AN236" s="8"/>
      <c r="AO236" s="76">
        <v>-73.080024999999978</v>
      </c>
      <c r="AP236" s="77">
        <v>6.7756316670000274</v>
      </c>
      <c r="AQ236" s="13"/>
      <c r="AR236" s="64">
        <f t="shared" si="45"/>
        <v>0.44883092592592588</v>
      </c>
      <c r="AS236" s="14">
        <f t="shared" si="46"/>
        <v>9.6613553145603007E-2</v>
      </c>
    </row>
    <row r="237" spans="1:45" ht="36" customHeight="1" x14ac:dyDescent="0.25">
      <c r="A237" s="117"/>
      <c r="B237" s="118"/>
      <c r="C237" s="1">
        <v>5</v>
      </c>
      <c r="D237" s="70" t="s">
        <v>344</v>
      </c>
      <c r="E237" s="71"/>
      <c r="F237" s="72">
        <v>0.75</v>
      </c>
      <c r="G237" s="15"/>
      <c r="H237" s="16"/>
      <c r="I237" s="16"/>
      <c r="J237" s="16"/>
      <c r="K237" s="16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4">
        <v>5</v>
      </c>
      <c r="AC237" s="75">
        <v>15</v>
      </c>
      <c r="AD237" s="74"/>
      <c r="AE237" s="75"/>
      <c r="AF237" s="5"/>
      <c r="AG237" s="8"/>
      <c r="AH237" s="8"/>
      <c r="AI237" s="8"/>
      <c r="AJ237" s="8"/>
      <c r="AK237" s="8"/>
      <c r="AL237" s="8"/>
      <c r="AM237" s="8"/>
      <c r="AN237" s="8"/>
      <c r="AO237" s="76">
        <v>-73.086201849999952</v>
      </c>
      <c r="AP237" s="77">
        <v>6.780508520000069</v>
      </c>
      <c r="AQ237" s="13"/>
      <c r="AR237" s="64">
        <f t="shared" si="45"/>
        <v>2.2523148148148146E-2</v>
      </c>
      <c r="AS237" s="14">
        <f t="shared" si="46"/>
        <v>4.8482429461122519E-3</v>
      </c>
    </row>
    <row r="238" spans="1:45" ht="36" customHeight="1" x14ac:dyDescent="0.25">
      <c r="A238" s="117"/>
      <c r="B238" s="118"/>
      <c r="C238" s="1">
        <v>6</v>
      </c>
      <c r="D238" s="70" t="s">
        <v>345</v>
      </c>
      <c r="E238" s="71"/>
      <c r="F238" s="72"/>
      <c r="G238" s="15"/>
      <c r="H238" s="16"/>
      <c r="I238" s="16"/>
      <c r="J238" s="16"/>
      <c r="K238" s="16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>
        <f>1.5*0.5</f>
        <v>0.75</v>
      </c>
      <c r="AB238" s="74">
        <v>6</v>
      </c>
      <c r="AC238" s="75">
        <v>6</v>
      </c>
      <c r="AD238" s="74"/>
      <c r="AE238" s="75">
        <v>2</v>
      </c>
      <c r="AF238" s="5"/>
      <c r="AG238" s="8"/>
      <c r="AH238" s="8"/>
      <c r="AI238" s="8">
        <v>1</v>
      </c>
      <c r="AJ238" s="8">
        <v>1000</v>
      </c>
      <c r="AK238" s="8"/>
      <c r="AL238" s="8"/>
      <c r="AM238" s="8"/>
      <c r="AN238" s="8"/>
      <c r="AO238" s="76">
        <v>-73.081790422999973</v>
      </c>
      <c r="AP238" s="77">
        <v>6.7876779180000426</v>
      </c>
      <c r="AQ238" s="13"/>
      <c r="AR238" s="64">
        <f t="shared" si="45"/>
        <v>9.5427777777777806E-2</v>
      </c>
      <c r="AS238" s="14">
        <f t="shared" si="46"/>
        <v>2.0541402446545575E-2</v>
      </c>
    </row>
    <row r="239" spans="1:45" ht="36" customHeight="1" x14ac:dyDescent="0.25">
      <c r="A239" s="117"/>
      <c r="B239" s="118"/>
      <c r="C239" s="1">
        <v>7</v>
      </c>
      <c r="D239" s="70" t="s">
        <v>346</v>
      </c>
      <c r="E239" s="71"/>
      <c r="F239" s="72">
        <v>8</v>
      </c>
      <c r="G239" s="15"/>
      <c r="H239" s="16"/>
      <c r="I239" s="16"/>
      <c r="J239" s="16"/>
      <c r="K239" s="16"/>
      <c r="L239" s="73"/>
      <c r="M239" s="73"/>
      <c r="N239" s="73"/>
      <c r="O239" s="73">
        <f>2*0.5</f>
        <v>1</v>
      </c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4">
        <v>3</v>
      </c>
      <c r="AC239" s="75">
        <v>3</v>
      </c>
      <c r="AD239" s="74"/>
      <c r="AE239" s="75"/>
      <c r="AF239" s="5"/>
      <c r="AG239" s="8"/>
      <c r="AH239" s="8"/>
      <c r="AI239" s="8"/>
      <c r="AJ239" s="8"/>
      <c r="AK239" s="8"/>
      <c r="AL239" s="8"/>
      <c r="AM239" s="8"/>
      <c r="AN239" s="8">
        <v>24</v>
      </c>
      <c r="AO239" s="76">
        <v>-73.077878279999936</v>
      </c>
      <c r="AP239" s="77">
        <v>6.7894115300000522</v>
      </c>
      <c r="AQ239" s="13"/>
      <c r="AR239" s="64">
        <f t="shared" si="45"/>
        <v>0.11711388888888889</v>
      </c>
      <c r="AS239" s="14">
        <f t="shared" si="46"/>
        <v>2.5209468141957497E-2</v>
      </c>
    </row>
    <row r="240" spans="1:45" ht="36" customHeight="1" x14ac:dyDescent="0.25">
      <c r="A240" s="117"/>
      <c r="B240" s="118"/>
      <c r="C240" s="1">
        <v>8</v>
      </c>
      <c r="D240" s="70" t="s">
        <v>347</v>
      </c>
      <c r="E240" s="71"/>
      <c r="F240" s="72"/>
      <c r="G240" s="15"/>
      <c r="H240" s="16"/>
      <c r="I240" s="16"/>
      <c r="J240" s="16"/>
      <c r="K240" s="16"/>
      <c r="L240" s="73"/>
      <c r="M240" s="73"/>
      <c r="N240" s="73"/>
      <c r="O240" s="73"/>
      <c r="P240" s="73">
        <f>1*0.5</f>
        <v>0.5</v>
      </c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>
        <f>2*0.5</f>
        <v>1</v>
      </c>
      <c r="AB240" s="74">
        <v>2</v>
      </c>
      <c r="AC240" s="75">
        <v>6</v>
      </c>
      <c r="AD240" s="74"/>
      <c r="AE240" s="75"/>
      <c r="AF240" s="5"/>
      <c r="AG240" s="8"/>
      <c r="AH240" s="8"/>
      <c r="AI240" s="8"/>
      <c r="AJ240" s="8"/>
      <c r="AK240" s="8"/>
      <c r="AL240" s="8"/>
      <c r="AM240" s="8"/>
      <c r="AN240" s="8"/>
      <c r="AO240" s="76">
        <v>-73.081272059999947</v>
      </c>
      <c r="AP240" s="77">
        <v>6.7850820300000692</v>
      </c>
      <c r="AQ240" s="13"/>
      <c r="AR240" s="64">
        <f t="shared" si="45"/>
        <v>0.15900925925925929</v>
      </c>
      <c r="AS240" s="14">
        <f t="shared" si="46"/>
        <v>3.4227698299521367E-2</v>
      </c>
    </row>
    <row r="241" spans="1:45" ht="36" customHeight="1" x14ac:dyDescent="0.25">
      <c r="A241" s="117"/>
      <c r="B241" s="118"/>
      <c r="C241" s="1">
        <v>9</v>
      </c>
      <c r="D241" s="70" t="s">
        <v>348</v>
      </c>
      <c r="E241" s="71"/>
      <c r="F241" s="72">
        <v>0.1</v>
      </c>
      <c r="G241" s="15"/>
      <c r="H241" s="16"/>
      <c r="I241" s="16"/>
      <c r="J241" s="16"/>
      <c r="K241" s="16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4">
        <v>6</v>
      </c>
      <c r="AC241" s="75"/>
      <c r="AD241" s="74"/>
      <c r="AE241" s="75"/>
      <c r="AF241" s="5"/>
      <c r="AG241" s="8"/>
      <c r="AH241" s="8"/>
      <c r="AI241" s="8"/>
      <c r="AJ241" s="8"/>
      <c r="AK241" s="8"/>
      <c r="AL241" s="8"/>
      <c r="AM241" s="8"/>
      <c r="AN241" s="8"/>
      <c r="AO241" s="76">
        <v>-73.080246666999983</v>
      </c>
      <c r="AP241" s="77">
        <v>6.7835966670000403</v>
      </c>
      <c r="AQ241" s="13"/>
      <c r="AR241" s="64">
        <f t="shared" si="45"/>
        <v>9.0277777777777769E-3</v>
      </c>
      <c r="AS241" s="14">
        <f t="shared" si="46"/>
        <v>1.9432834008055275E-3</v>
      </c>
    </row>
    <row r="242" spans="1:45" ht="36" customHeight="1" x14ac:dyDescent="0.25">
      <c r="A242" s="117"/>
      <c r="B242" s="118"/>
      <c r="C242" s="1">
        <v>10</v>
      </c>
      <c r="D242" s="70" t="s">
        <v>349</v>
      </c>
      <c r="E242" s="71"/>
      <c r="F242" s="72">
        <v>6</v>
      </c>
      <c r="G242" s="15"/>
      <c r="H242" s="16"/>
      <c r="I242" s="73">
        <f>0.5*0.5</f>
        <v>0.25</v>
      </c>
      <c r="J242" s="16"/>
      <c r="K242" s="16"/>
      <c r="L242" s="73"/>
      <c r="M242" s="73"/>
      <c r="N242" s="73">
        <f>0.5*0.5</f>
        <v>0.25</v>
      </c>
      <c r="O242" s="73">
        <f>0.1*0.5</f>
        <v>0.05</v>
      </c>
      <c r="P242" s="73"/>
      <c r="Q242" s="73"/>
      <c r="R242" s="73">
        <f>0.5*0.5</f>
        <v>0.25</v>
      </c>
      <c r="S242" s="73"/>
      <c r="T242" s="73"/>
      <c r="U242" s="73"/>
      <c r="V242" s="73"/>
      <c r="W242" s="73"/>
      <c r="X242" s="73"/>
      <c r="Y242" s="73">
        <f>1*0.5</f>
        <v>0.5</v>
      </c>
      <c r="Z242" s="73"/>
      <c r="AA242" s="73"/>
      <c r="AB242" s="74">
        <v>5</v>
      </c>
      <c r="AC242" s="75">
        <v>3</v>
      </c>
      <c r="AD242" s="74"/>
      <c r="AE242" s="75"/>
      <c r="AF242" s="5"/>
      <c r="AG242" s="8"/>
      <c r="AH242" s="8"/>
      <c r="AI242" s="8"/>
      <c r="AJ242" s="8">
        <v>80</v>
      </c>
      <c r="AK242" s="8"/>
      <c r="AL242" s="8"/>
      <c r="AM242" s="8"/>
      <c r="AN242" s="8"/>
      <c r="AO242" s="76">
        <v>-73.078918332999933</v>
      </c>
      <c r="AP242" s="77">
        <v>6.7717083330000492</v>
      </c>
      <c r="AQ242" s="13"/>
      <c r="AR242" s="64">
        <f t="shared" si="45"/>
        <v>0.14084314814814813</v>
      </c>
      <c r="AS242" s="14">
        <f t="shared" si="46"/>
        <v>3.0317333750417362E-2</v>
      </c>
    </row>
    <row r="243" spans="1:45" ht="36" customHeight="1" x14ac:dyDescent="0.25">
      <c r="A243" s="117"/>
      <c r="B243" s="118"/>
      <c r="C243" s="1">
        <v>11</v>
      </c>
      <c r="D243" s="70" t="s">
        <v>350</v>
      </c>
      <c r="E243" s="71"/>
      <c r="F243" s="72">
        <v>9.1999999999999993</v>
      </c>
      <c r="G243" s="15"/>
      <c r="H243" s="16"/>
      <c r="I243" s="73">
        <f>0.5*0.5</f>
        <v>0.25</v>
      </c>
      <c r="J243" s="16"/>
      <c r="K243" s="16"/>
      <c r="L243" s="73"/>
      <c r="M243" s="73"/>
      <c r="N243" s="73"/>
      <c r="O243" s="73">
        <f>2*0.5</f>
        <v>1</v>
      </c>
      <c r="P243" s="73"/>
      <c r="Q243" s="73">
        <f>1*0.5</f>
        <v>0.5</v>
      </c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4">
        <v>3</v>
      </c>
      <c r="AC243" s="75">
        <v>3</v>
      </c>
      <c r="AD243" s="74"/>
      <c r="AE243" s="75"/>
      <c r="AF243" s="5"/>
      <c r="AG243" s="8"/>
      <c r="AH243" s="8"/>
      <c r="AI243" s="8"/>
      <c r="AJ243" s="8"/>
      <c r="AK243" s="8"/>
      <c r="AL243" s="8"/>
      <c r="AM243" s="8"/>
      <c r="AN243" s="8"/>
      <c r="AO243" s="76">
        <v>-73.078666666999936</v>
      </c>
      <c r="AP243" s="77">
        <v>6.7728033330000699</v>
      </c>
      <c r="AQ243" s="13"/>
      <c r="AR243" s="64">
        <f t="shared" si="45"/>
        <v>0.18251388888888889</v>
      </c>
      <c r="AS243" s="14">
        <f t="shared" si="46"/>
        <v>3.9287211030746831E-2</v>
      </c>
    </row>
    <row r="244" spans="1:45" ht="36" customHeight="1" x14ac:dyDescent="0.25">
      <c r="A244" s="117"/>
      <c r="B244" s="118"/>
      <c r="C244" s="1">
        <v>12</v>
      </c>
      <c r="D244" s="70" t="s">
        <v>351</v>
      </c>
      <c r="E244" s="71"/>
      <c r="F244" s="72"/>
      <c r="G244" s="15"/>
      <c r="H244" s="16"/>
      <c r="I244" s="16"/>
      <c r="J244" s="16"/>
      <c r="K244" s="16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>
        <f>1*0.5</f>
        <v>0.5</v>
      </c>
      <c r="AB244" s="74">
        <v>3</v>
      </c>
      <c r="AC244" s="75">
        <v>2</v>
      </c>
      <c r="AD244" s="74"/>
      <c r="AE244" s="75"/>
      <c r="AF244" s="5"/>
      <c r="AG244" s="8"/>
      <c r="AH244" s="8"/>
      <c r="AI244" s="8"/>
      <c r="AJ244" s="8"/>
      <c r="AK244" s="8"/>
      <c r="AL244" s="8"/>
      <c r="AM244" s="8"/>
      <c r="AN244" s="8"/>
      <c r="AO244" s="76">
        <v>-73.081695259999947</v>
      </c>
      <c r="AP244" s="77">
        <v>6.7856403990000436</v>
      </c>
      <c r="AQ244" s="13"/>
      <c r="AR244" s="64">
        <f t="shared" si="45"/>
        <v>5.6513888888888891E-2</v>
      </c>
      <c r="AS244" s="14">
        <f t="shared" si="46"/>
        <v>1.2164954089042604E-2</v>
      </c>
    </row>
    <row r="245" spans="1:45" ht="36" customHeight="1" x14ac:dyDescent="0.25">
      <c r="A245" s="117"/>
      <c r="B245" s="118"/>
      <c r="C245" s="1">
        <v>13</v>
      </c>
      <c r="D245" s="70" t="s">
        <v>352</v>
      </c>
      <c r="E245" s="71"/>
      <c r="F245" s="72"/>
      <c r="G245" s="15"/>
      <c r="H245" s="16"/>
      <c r="I245" s="16"/>
      <c r="J245" s="16"/>
      <c r="K245" s="16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>
        <f>1*0.5</f>
        <v>0.5</v>
      </c>
      <c r="AB245" s="74">
        <v>3</v>
      </c>
      <c r="AC245" s="75">
        <v>2</v>
      </c>
      <c r="AD245" s="74"/>
      <c r="AE245" s="75"/>
      <c r="AF245" s="5"/>
      <c r="AG245" s="8"/>
      <c r="AH245" s="8"/>
      <c r="AI245" s="8"/>
      <c r="AJ245" s="8"/>
      <c r="AK245" s="8"/>
      <c r="AL245" s="8"/>
      <c r="AM245" s="8"/>
      <c r="AN245" s="8"/>
      <c r="AO245" s="76">
        <v>-73.08177997699994</v>
      </c>
      <c r="AP245" s="77">
        <v>6.7852315720000433</v>
      </c>
      <c r="AQ245" s="13"/>
      <c r="AR245" s="64">
        <f t="shared" si="45"/>
        <v>5.6513888888888891E-2</v>
      </c>
      <c r="AS245" s="14">
        <f t="shared" si="46"/>
        <v>1.2164954089042604E-2</v>
      </c>
    </row>
    <row r="246" spans="1:45" ht="36" customHeight="1" x14ac:dyDescent="0.25">
      <c r="A246" s="117"/>
      <c r="B246" s="118"/>
      <c r="C246" s="1">
        <v>14</v>
      </c>
      <c r="D246" s="70" t="s">
        <v>353</v>
      </c>
      <c r="E246" s="71"/>
      <c r="F246" s="72">
        <v>23</v>
      </c>
      <c r="G246" s="15"/>
      <c r="H246" s="16"/>
      <c r="I246" s="16">
        <f>0.05*0.5</f>
        <v>2.5000000000000001E-2</v>
      </c>
      <c r="J246" s="16"/>
      <c r="K246" s="16"/>
      <c r="L246" s="73"/>
      <c r="M246" s="73"/>
      <c r="N246" s="73"/>
      <c r="O246" s="73">
        <f>19*0.5</f>
        <v>9.5</v>
      </c>
      <c r="P246" s="73"/>
      <c r="Q246" s="73">
        <f>0.05*0.5</f>
        <v>2.5000000000000001E-2</v>
      </c>
      <c r="R246" s="73">
        <f>0.1*0.5</f>
        <v>0.05</v>
      </c>
      <c r="S246" s="73"/>
      <c r="T246" s="73"/>
      <c r="U246" s="73">
        <f>0.05*0.5</f>
        <v>2.5000000000000001E-2</v>
      </c>
      <c r="V246" s="73"/>
      <c r="W246" s="73"/>
      <c r="X246" s="73"/>
      <c r="Y246" s="73"/>
      <c r="Z246" s="73"/>
      <c r="AA246" s="73"/>
      <c r="AB246" s="74">
        <v>3</v>
      </c>
      <c r="AC246" s="75">
        <v>5</v>
      </c>
      <c r="AD246" s="74"/>
      <c r="AE246" s="75">
        <v>2</v>
      </c>
      <c r="AF246" s="5"/>
      <c r="AG246" s="8"/>
      <c r="AH246" s="8">
        <v>2</v>
      </c>
      <c r="AI246" s="8"/>
      <c r="AJ246" s="8">
        <v>22</v>
      </c>
      <c r="AK246" s="8"/>
      <c r="AL246" s="8"/>
      <c r="AM246" s="8"/>
      <c r="AN246" s="8">
        <v>600</v>
      </c>
      <c r="AO246" s="76">
        <v>-73.079680535999955</v>
      </c>
      <c r="AP246" s="77">
        <v>6.7831653200000233</v>
      </c>
      <c r="AQ246" s="13"/>
      <c r="AR246" s="64">
        <f t="shared" si="45"/>
        <v>1.2137018888888889</v>
      </c>
      <c r="AS246" s="14">
        <f t="shared" si="46"/>
        <v>0.26125662286568413</v>
      </c>
    </row>
    <row r="247" spans="1:45" ht="36" customHeight="1" x14ac:dyDescent="0.25">
      <c r="A247" s="117"/>
      <c r="B247" s="118"/>
      <c r="C247" s="1">
        <v>15</v>
      </c>
      <c r="D247" s="70" t="s">
        <v>354</v>
      </c>
      <c r="E247" s="71"/>
      <c r="F247" s="72">
        <v>8.25</v>
      </c>
      <c r="G247" s="15"/>
      <c r="H247" s="16"/>
      <c r="I247" s="16">
        <f>1*0.5</f>
        <v>0.5</v>
      </c>
      <c r="J247" s="16"/>
      <c r="K247" s="16"/>
      <c r="L247" s="73"/>
      <c r="M247" s="73"/>
      <c r="N247" s="73"/>
      <c r="O247" s="73">
        <f>0.2*0.5</f>
        <v>0.1</v>
      </c>
      <c r="P247" s="73"/>
      <c r="Q247" s="73"/>
      <c r="R247" s="73">
        <f>0.2*0.5</f>
        <v>0.1</v>
      </c>
      <c r="S247" s="73"/>
      <c r="T247" s="73"/>
      <c r="U247" s="73"/>
      <c r="V247" s="73"/>
      <c r="W247" s="73"/>
      <c r="X247" s="73"/>
      <c r="Y247" s="73"/>
      <c r="Z247" s="73"/>
      <c r="AA247" s="73"/>
      <c r="AB247" s="74">
        <v>2</v>
      </c>
      <c r="AC247" s="75">
        <v>8</v>
      </c>
      <c r="AD247" s="74"/>
      <c r="AE247" s="75"/>
      <c r="AF247" s="5"/>
      <c r="AG247" s="8"/>
      <c r="AH247" s="8"/>
      <c r="AI247" s="8"/>
      <c r="AJ247" s="8"/>
      <c r="AK247" s="8"/>
      <c r="AL247" s="8"/>
      <c r="AM247" s="8"/>
      <c r="AN247" s="8"/>
      <c r="AO247" s="76">
        <v>-73.079321666999988</v>
      </c>
      <c r="AP247" s="77">
        <v>6.7739066670000616</v>
      </c>
      <c r="AQ247" s="13"/>
      <c r="AR247" s="64">
        <f t="shared" si="45"/>
        <v>8.1009259259259253E-2</v>
      </c>
      <c r="AS247" s="14">
        <f t="shared" si="46"/>
        <v>1.7437729716561601E-2</v>
      </c>
    </row>
    <row r="248" spans="1:45" ht="36" customHeight="1" x14ac:dyDescent="0.25">
      <c r="A248" s="117"/>
      <c r="B248" s="118"/>
      <c r="C248" s="1">
        <v>16</v>
      </c>
      <c r="D248" s="70" t="s">
        <v>355</v>
      </c>
      <c r="E248" s="71"/>
      <c r="F248" s="72">
        <v>16.8</v>
      </c>
      <c r="G248" s="15"/>
      <c r="H248" s="16"/>
      <c r="I248" s="16"/>
      <c r="J248" s="16"/>
      <c r="K248" s="16"/>
      <c r="L248" s="73">
        <f>0.1*0.5</f>
        <v>0.05</v>
      </c>
      <c r="M248" s="73"/>
      <c r="N248" s="73"/>
      <c r="O248" s="73"/>
      <c r="P248" s="73">
        <f>1*0.5</f>
        <v>0.5</v>
      </c>
      <c r="Q248" s="73"/>
      <c r="R248" s="73"/>
      <c r="S248" s="73"/>
      <c r="T248" s="73"/>
      <c r="U248" s="73">
        <f>0.5*0.5</f>
        <v>0.25</v>
      </c>
      <c r="V248" s="73"/>
      <c r="W248" s="73"/>
      <c r="X248" s="73"/>
      <c r="Y248" s="73">
        <f>0.5*0.5</f>
        <v>0.25</v>
      </c>
      <c r="Z248" s="73"/>
      <c r="AA248" s="73"/>
      <c r="AB248" s="74">
        <v>4</v>
      </c>
      <c r="AC248" s="75">
        <v>2</v>
      </c>
      <c r="AD248" s="74"/>
      <c r="AE248" s="75"/>
      <c r="AF248" s="5"/>
      <c r="AG248" s="8"/>
      <c r="AH248" s="8">
        <v>7</v>
      </c>
      <c r="AI248" s="8"/>
      <c r="AJ248" s="8">
        <v>50</v>
      </c>
      <c r="AK248" s="8"/>
      <c r="AL248" s="8"/>
      <c r="AM248" s="8"/>
      <c r="AN248" s="8"/>
      <c r="AO248" s="76">
        <v>-73.080178332999935</v>
      </c>
      <c r="AP248" s="77">
        <v>6.7802683330000377</v>
      </c>
      <c r="AQ248" s="13"/>
      <c r="AR248" s="64">
        <f t="shared" si="45"/>
        <v>0.11461851851851854</v>
      </c>
      <c r="AS248" s="14">
        <f t="shared" si="46"/>
        <v>2.4672324678863048E-2</v>
      </c>
    </row>
    <row r="249" spans="1:45" ht="36" customHeight="1" x14ac:dyDescent="0.25">
      <c r="A249" s="117"/>
      <c r="B249" s="118"/>
      <c r="C249" s="1">
        <v>17</v>
      </c>
      <c r="D249" s="70" t="s">
        <v>356</v>
      </c>
      <c r="E249" s="71"/>
      <c r="F249" s="72">
        <v>12</v>
      </c>
      <c r="G249" s="15"/>
      <c r="H249" s="16"/>
      <c r="I249" s="73">
        <f>0.5*0.5</f>
        <v>0.25</v>
      </c>
      <c r="J249" s="16"/>
      <c r="K249" s="16"/>
      <c r="L249" s="73"/>
      <c r="M249" s="73"/>
      <c r="N249" s="73"/>
      <c r="O249" s="73">
        <f>1.5*0.5</f>
        <v>0.75</v>
      </c>
      <c r="P249" s="73"/>
      <c r="Q249" s="73">
        <f>2*0.5</f>
        <v>1</v>
      </c>
      <c r="R249" s="73">
        <f>0.5*0.5</f>
        <v>0.25</v>
      </c>
      <c r="S249" s="73"/>
      <c r="T249" s="73"/>
      <c r="U249" s="73"/>
      <c r="V249" s="73"/>
      <c r="W249" s="73"/>
      <c r="X249" s="73"/>
      <c r="Y249" s="73"/>
      <c r="Z249" s="73"/>
      <c r="AA249" s="73"/>
      <c r="AB249" s="74">
        <v>5</v>
      </c>
      <c r="AC249" s="75">
        <v>5</v>
      </c>
      <c r="AD249" s="74"/>
      <c r="AE249" s="75"/>
      <c r="AF249" s="5"/>
      <c r="AG249" s="8"/>
      <c r="AH249" s="8"/>
      <c r="AI249" s="8"/>
      <c r="AJ249" s="8"/>
      <c r="AK249" s="8"/>
      <c r="AL249" s="8"/>
      <c r="AM249" s="8"/>
      <c r="AN249" s="8">
        <v>150</v>
      </c>
      <c r="AO249" s="76">
        <v>-73.077501333999976</v>
      </c>
      <c r="AP249" s="77">
        <v>6.7695171260000393</v>
      </c>
      <c r="AQ249" s="13"/>
      <c r="AR249" s="64">
        <f t="shared" si="45"/>
        <v>0.29752314814814818</v>
      </c>
      <c r="AS249" s="14">
        <f t="shared" si="46"/>
        <v>6.4043645001419111E-2</v>
      </c>
    </row>
    <row r="250" spans="1:45" ht="36" customHeight="1" x14ac:dyDescent="0.25">
      <c r="A250" s="117"/>
      <c r="B250" s="118"/>
      <c r="C250" s="1">
        <v>18</v>
      </c>
      <c r="D250" s="70" t="s">
        <v>357</v>
      </c>
      <c r="E250" s="71"/>
      <c r="F250" s="72">
        <v>12</v>
      </c>
      <c r="G250" s="15"/>
      <c r="H250" s="16"/>
      <c r="I250" s="16"/>
      <c r="J250" s="16"/>
      <c r="K250" s="16"/>
      <c r="L250" s="73"/>
      <c r="M250" s="73"/>
      <c r="N250" s="73"/>
      <c r="O250" s="73">
        <f>0.5*0.5</f>
        <v>0.25</v>
      </c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4">
        <v>5</v>
      </c>
      <c r="AC250" s="75">
        <v>3</v>
      </c>
      <c r="AD250" s="74"/>
      <c r="AE250" s="75"/>
      <c r="AF250" s="5"/>
      <c r="AG250" s="8"/>
      <c r="AH250" s="8"/>
      <c r="AI250" s="8"/>
      <c r="AJ250" s="8"/>
      <c r="AK250" s="8"/>
      <c r="AL250" s="8"/>
      <c r="AM250" s="8"/>
      <c r="AN250" s="8"/>
      <c r="AO250" s="76">
        <v>-73.083349799999951</v>
      </c>
      <c r="AP250" s="77">
        <v>6.788520290000065</v>
      </c>
      <c r="AQ250" s="13"/>
      <c r="AR250" s="64">
        <f t="shared" si="45"/>
        <v>3.5523148148148151E-2</v>
      </c>
      <c r="AS250" s="14">
        <f t="shared" si="46"/>
        <v>7.6465710432722135E-3</v>
      </c>
    </row>
    <row r="251" spans="1:45" ht="36" customHeight="1" x14ac:dyDescent="0.25">
      <c r="A251" s="117"/>
      <c r="B251" s="118"/>
      <c r="C251" s="1">
        <v>19</v>
      </c>
      <c r="D251" s="70" t="s">
        <v>358</v>
      </c>
      <c r="E251" s="71"/>
      <c r="F251" s="72"/>
      <c r="G251" s="15"/>
      <c r="H251" s="16"/>
      <c r="I251" s="16"/>
      <c r="J251" s="16"/>
      <c r="K251" s="16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>
        <f>1*0.5</f>
        <v>0.5</v>
      </c>
      <c r="AB251" s="74">
        <v>4</v>
      </c>
      <c r="AC251" s="75">
        <v>6</v>
      </c>
      <c r="AD251" s="74"/>
      <c r="AE251" s="75"/>
      <c r="AF251" s="5"/>
      <c r="AG251" s="8"/>
      <c r="AH251" s="8"/>
      <c r="AI251" s="8"/>
      <c r="AJ251" s="8"/>
      <c r="AK251" s="8"/>
      <c r="AL251" s="8"/>
      <c r="AM251" s="8"/>
      <c r="AN251" s="8"/>
      <c r="AO251" s="76">
        <v>-73.080956470999979</v>
      </c>
      <c r="AP251" s="77">
        <v>6.7851431390000698</v>
      </c>
      <c r="AQ251" s="13"/>
      <c r="AR251" s="64">
        <f t="shared" si="45"/>
        <v>6.2018518518518521E-2</v>
      </c>
      <c r="AS251" s="14">
        <f t="shared" si="46"/>
        <v>1.3349858685738899E-2</v>
      </c>
    </row>
    <row r="252" spans="1:45" ht="36" customHeight="1" x14ac:dyDescent="0.25">
      <c r="A252" s="117"/>
      <c r="B252" s="118"/>
      <c r="C252" s="1">
        <v>20</v>
      </c>
      <c r="D252" s="70" t="s">
        <v>359</v>
      </c>
      <c r="E252" s="71"/>
      <c r="F252" s="72"/>
      <c r="G252" s="15"/>
      <c r="H252" s="16"/>
      <c r="I252" s="16"/>
      <c r="J252" s="16"/>
      <c r="K252" s="16"/>
      <c r="L252" s="73">
        <f>0.25*0.5</f>
        <v>0.125</v>
      </c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>
        <f>0.75*0.5</f>
        <v>0.375</v>
      </c>
      <c r="AB252" s="74">
        <v>4</v>
      </c>
      <c r="AC252" s="75">
        <v>2</v>
      </c>
      <c r="AD252" s="74"/>
      <c r="AE252" s="75">
        <v>2</v>
      </c>
      <c r="AF252" s="5"/>
      <c r="AG252" s="8"/>
      <c r="AH252" s="8"/>
      <c r="AI252" s="8"/>
      <c r="AJ252" s="8"/>
      <c r="AK252" s="8"/>
      <c r="AL252" s="8"/>
      <c r="AM252" s="8"/>
      <c r="AN252" s="8"/>
      <c r="AO252" s="76">
        <v>-73.080267379999952</v>
      </c>
      <c r="AP252" s="77">
        <v>6.7855260800000679</v>
      </c>
      <c r="AQ252" s="13"/>
      <c r="AR252" s="64">
        <f t="shared" si="45"/>
        <v>5.9218518518518524E-2</v>
      </c>
      <c r="AS252" s="14">
        <f t="shared" si="46"/>
        <v>1.2747141864812139E-2</v>
      </c>
    </row>
    <row r="253" spans="1:45" ht="36" customHeight="1" x14ac:dyDescent="0.25">
      <c r="A253" s="117"/>
      <c r="B253" s="118"/>
      <c r="C253" s="1">
        <v>21</v>
      </c>
      <c r="D253" s="70" t="s">
        <v>360</v>
      </c>
      <c r="E253" s="71"/>
      <c r="F253" s="72"/>
      <c r="G253" s="15"/>
      <c r="H253" s="16"/>
      <c r="I253" s="16"/>
      <c r="J253" s="16"/>
      <c r="K253" s="16">
        <f>1*0.5</f>
        <v>0.5</v>
      </c>
      <c r="L253" s="73"/>
      <c r="M253" s="73"/>
      <c r="N253" s="73"/>
      <c r="O253" s="73">
        <f>2*0.5</f>
        <v>1</v>
      </c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>
        <f>0.5*0.5</f>
        <v>0.25</v>
      </c>
      <c r="AA253" s="73"/>
      <c r="AB253" s="74">
        <v>5</v>
      </c>
      <c r="AC253" s="75">
        <v>2</v>
      </c>
      <c r="AD253" s="74"/>
      <c r="AE253" s="75"/>
      <c r="AF253" s="5"/>
      <c r="AG253" s="8"/>
      <c r="AH253" s="8">
        <v>3</v>
      </c>
      <c r="AI253" s="8">
        <v>1</v>
      </c>
      <c r="AJ253" s="8"/>
      <c r="AK253" s="8"/>
      <c r="AL253" s="8"/>
      <c r="AM253" s="8"/>
      <c r="AN253" s="8"/>
      <c r="AO253" s="76">
        <v>-73.078351675999954</v>
      </c>
      <c r="AP253" s="77">
        <v>6.7849871080000526</v>
      </c>
      <c r="AQ253" s="13"/>
      <c r="AR253" s="64">
        <f t="shared" si="45"/>
        <v>0.16034814814814816</v>
      </c>
      <c r="AS253" s="14">
        <f t="shared" si="46"/>
        <v>3.4515902176194678E-2</v>
      </c>
    </row>
    <row r="254" spans="1:45" ht="36" customHeight="1" x14ac:dyDescent="0.25">
      <c r="A254" s="117"/>
      <c r="B254" s="118"/>
      <c r="C254" s="1">
        <v>22</v>
      </c>
      <c r="D254" s="70" t="s">
        <v>361</v>
      </c>
      <c r="E254" s="71"/>
      <c r="F254" s="72">
        <v>10.7</v>
      </c>
      <c r="G254" s="15"/>
      <c r="H254" s="16"/>
      <c r="I254" s="16">
        <f>1.5*0.5</f>
        <v>0.75</v>
      </c>
      <c r="J254" s="16"/>
      <c r="K254" s="16"/>
      <c r="L254" s="73"/>
      <c r="M254" s="73"/>
      <c r="N254" s="73"/>
      <c r="O254" s="73"/>
      <c r="P254" s="73"/>
      <c r="Q254" s="73">
        <f>2.5*0.5</f>
        <v>1.25</v>
      </c>
      <c r="R254" s="73">
        <f>0.2*0.5</f>
        <v>0.1</v>
      </c>
      <c r="S254" s="73"/>
      <c r="T254" s="73"/>
      <c r="U254" s="73"/>
      <c r="V254" s="73"/>
      <c r="W254" s="73"/>
      <c r="X254" s="73"/>
      <c r="Y254" s="73"/>
      <c r="Z254" s="73"/>
      <c r="AA254" s="73">
        <f>0.3*0.5</f>
        <v>0.15</v>
      </c>
      <c r="AB254" s="74">
        <v>3</v>
      </c>
      <c r="AC254" s="75">
        <v>5</v>
      </c>
      <c r="AD254" s="74"/>
      <c r="AE254" s="75"/>
      <c r="AF254" s="5"/>
      <c r="AG254" s="8"/>
      <c r="AH254" s="8"/>
      <c r="AI254" s="8"/>
      <c r="AJ254" s="8"/>
      <c r="AK254" s="8"/>
      <c r="AL254" s="8"/>
      <c r="AM254" s="8"/>
      <c r="AN254" s="8"/>
      <c r="AO254" s="76">
        <v>-73.077269027999989</v>
      </c>
      <c r="AP254" s="77">
        <v>6.7689837430000352</v>
      </c>
      <c r="AQ254" s="13"/>
      <c r="AR254" s="64">
        <f t="shared" si="45"/>
        <v>0.23451388888888894</v>
      </c>
      <c r="AS254" s="14">
        <f t="shared" si="46"/>
        <v>5.0480523419386684E-2</v>
      </c>
    </row>
    <row r="255" spans="1:45" ht="23.25" customHeight="1" x14ac:dyDescent="0.25">
      <c r="A255" s="79"/>
      <c r="B255" s="2"/>
      <c r="C255" s="113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5"/>
      <c r="AQ255" s="78"/>
      <c r="AR255" s="7">
        <f>SUM(AR233:AR254)</f>
        <v>4.0426296666666675</v>
      </c>
      <c r="AS255" s="51">
        <f>SUM(AS233:AS254)</f>
        <v>0.87020032174198003</v>
      </c>
    </row>
    <row r="256" spans="1:45" ht="44.45" customHeight="1" x14ac:dyDescent="0.25"/>
    <row r="257" spans="1:45" ht="44.45" customHeight="1" x14ac:dyDescent="0.25"/>
    <row r="258" spans="1:45" ht="33.75" customHeight="1" x14ac:dyDescent="0.25">
      <c r="A258" s="126" t="s">
        <v>31</v>
      </c>
      <c r="B258" s="126" t="s">
        <v>32</v>
      </c>
      <c r="C258" s="127" t="s">
        <v>0</v>
      </c>
      <c r="D258" s="128" t="s">
        <v>1</v>
      </c>
      <c r="E258" s="128" t="s">
        <v>2</v>
      </c>
      <c r="F258" s="129" t="s">
        <v>3</v>
      </c>
      <c r="G258" s="116" t="s">
        <v>4</v>
      </c>
      <c r="H258" s="124" t="s">
        <v>5</v>
      </c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16" t="s">
        <v>6</v>
      </c>
      <c r="AC258" s="116" t="s">
        <v>7</v>
      </c>
      <c r="AD258" s="124" t="s">
        <v>8</v>
      </c>
      <c r="AE258" s="124" t="s">
        <v>9</v>
      </c>
      <c r="AF258" s="124"/>
      <c r="AG258" s="124"/>
      <c r="AH258" s="124"/>
      <c r="AI258" s="124"/>
      <c r="AJ258" s="124"/>
      <c r="AK258" s="124"/>
      <c r="AL258" s="124"/>
      <c r="AM258" s="124"/>
      <c r="AN258" s="124" t="s">
        <v>30</v>
      </c>
      <c r="AO258" s="125" t="s">
        <v>10</v>
      </c>
      <c r="AP258" s="125"/>
      <c r="AQ258" s="116" t="s">
        <v>11</v>
      </c>
      <c r="AR258" s="116" t="s">
        <v>12</v>
      </c>
      <c r="AS258" s="116" t="s">
        <v>13</v>
      </c>
    </row>
    <row r="259" spans="1:45" ht="63.75" customHeight="1" x14ac:dyDescent="0.25">
      <c r="A259" s="126"/>
      <c r="B259" s="126"/>
      <c r="C259" s="127"/>
      <c r="D259" s="128"/>
      <c r="E259" s="128"/>
      <c r="F259" s="129"/>
      <c r="G259" s="116"/>
      <c r="H259" s="19" t="s">
        <v>326</v>
      </c>
      <c r="I259" s="19" t="s">
        <v>69</v>
      </c>
      <c r="J259" s="19" t="s">
        <v>327</v>
      </c>
      <c r="K259" s="19" t="s">
        <v>70</v>
      </c>
      <c r="L259" s="19" t="s">
        <v>328</v>
      </c>
      <c r="M259" s="19" t="s">
        <v>71</v>
      </c>
      <c r="N259" s="19" t="s">
        <v>329</v>
      </c>
      <c r="O259" s="19" t="s">
        <v>72</v>
      </c>
      <c r="P259" s="19" t="s">
        <v>73</v>
      </c>
      <c r="Q259" s="19" t="s">
        <v>330</v>
      </c>
      <c r="R259" s="19" t="s">
        <v>331</v>
      </c>
      <c r="S259" s="19" t="s">
        <v>121</v>
      </c>
      <c r="T259" s="19" t="s">
        <v>16</v>
      </c>
      <c r="U259" s="19" t="s">
        <v>332</v>
      </c>
      <c r="V259" s="19" t="s">
        <v>122</v>
      </c>
      <c r="W259" s="19" t="s">
        <v>333</v>
      </c>
      <c r="X259" s="19" t="s">
        <v>170</v>
      </c>
      <c r="Y259" s="19" t="s">
        <v>152</v>
      </c>
      <c r="Z259" s="19" t="s">
        <v>14</v>
      </c>
      <c r="AA259" s="19" t="s">
        <v>334</v>
      </c>
      <c r="AB259" s="116"/>
      <c r="AC259" s="116"/>
      <c r="AD259" s="124"/>
      <c r="AE259" s="19" t="s">
        <v>19</v>
      </c>
      <c r="AF259" s="19" t="s">
        <v>335</v>
      </c>
      <c r="AG259" s="19" t="s">
        <v>336</v>
      </c>
      <c r="AH259" s="19" t="s">
        <v>337</v>
      </c>
      <c r="AI259" s="19" t="s">
        <v>21</v>
      </c>
      <c r="AJ259" s="19" t="s">
        <v>338</v>
      </c>
      <c r="AK259" s="19" t="s">
        <v>192</v>
      </c>
      <c r="AL259" s="19" t="s">
        <v>193</v>
      </c>
      <c r="AM259" s="19" t="s">
        <v>339</v>
      </c>
      <c r="AN259" s="124"/>
      <c r="AO259" s="2" t="s">
        <v>24</v>
      </c>
      <c r="AP259" s="2" t="s">
        <v>23</v>
      </c>
      <c r="AQ259" s="116"/>
      <c r="AR259" s="116"/>
      <c r="AS259" s="116"/>
    </row>
    <row r="260" spans="1:45" ht="26.25" customHeight="1" x14ac:dyDescent="0.25">
      <c r="A260" s="117">
        <v>1</v>
      </c>
      <c r="B260" s="118">
        <v>1</v>
      </c>
      <c r="C260" s="130" t="s">
        <v>487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31"/>
      <c r="AG260" s="131"/>
      <c r="AH260" s="131"/>
      <c r="AI260" s="131"/>
      <c r="AJ260" s="131"/>
      <c r="AK260" s="131"/>
      <c r="AL260" s="131"/>
      <c r="AM260" s="131"/>
      <c r="AN260" s="131"/>
      <c r="AO260" s="132"/>
      <c r="AP260" s="132"/>
      <c r="AQ260" s="34">
        <v>0.66198169057120659</v>
      </c>
      <c r="AR260" s="5"/>
      <c r="AS260" s="6"/>
    </row>
    <row r="261" spans="1:45" ht="27.75" customHeight="1" x14ac:dyDescent="0.25">
      <c r="A261" s="117"/>
      <c r="B261" s="118"/>
      <c r="C261" s="122" t="s">
        <v>463</v>
      </c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7"/>
      <c r="AP261" s="18"/>
      <c r="AQ261" s="7"/>
      <c r="AR261" s="8"/>
      <c r="AS261" s="4"/>
    </row>
    <row r="262" spans="1:45" ht="36" customHeight="1" x14ac:dyDescent="0.25">
      <c r="A262" s="117"/>
      <c r="B262" s="118"/>
      <c r="C262" s="1">
        <v>1</v>
      </c>
      <c r="D262" s="70" t="s">
        <v>362</v>
      </c>
      <c r="E262" s="71"/>
      <c r="F262" s="72">
        <v>7.49</v>
      </c>
      <c r="G262" s="15"/>
      <c r="H262" s="16"/>
      <c r="I262" s="16"/>
      <c r="J262" s="16"/>
      <c r="K262" s="16"/>
      <c r="L262" s="73"/>
      <c r="M262" s="73"/>
      <c r="N262" s="73"/>
      <c r="O262" s="73"/>
      <c r="P262" s="73">
        <v>0.05</v>
      </c>
      <c r="Q262" s="73"/>
      <c r="R262" s="73"/>
      <c r="S262" s="73"/>
      <c r="T262" s="73"/>
      <c r="U262" s="73"/>
      <c r="V262" s="73">
        <v>2</v>
      </c>
      <c r="W262" s="73"/>
      <c r="X262" s="73"/>
      <c r="Y262" s="73"/>
      <c r="Z262" s="73"/>
      <c r="AA262" s="73"/>
      <c r="AB262" s="74">
        <v>3</v>
      </c>
      <c r="AC262" s="75"/>
      <c r="AD262" s="74"/>
      <c r="AE262" s="75"/>
      <c r="AF262" s="5"/>
      <c r="AG262" s="8"/>
      <c r="AH262" s="8"/>
      <c r="AI262" s="8"/>
      <c r="AJ262" s="8"/>
      <c r="AK262" s="8"/>
      <c r="AL262" s="8"/>
      <c r="AM262" s="8"/>
      <c r="AN262" s="8"/>
      <c r="AO262" s="76">
        <v>-73.096459999999993</v>
      </c>
      <c r="AP262" s="77">
        <v>6.8137819999999998</v>
      </c>
      <c r="AQ262" s="13"/>
      <c r="AR262" s="64">
        <f t="shared" ref="AR262:AR263" si="47">$H262*0.1+$I262*0.1+$J262*0.1+$K262*0.1+$L262*0.1+$M262*0.1+$N262*0.1+$P262*0.1+$O262*0.1+$Q262*0.1+$R262*0.1+$S262*0.1+$T262*0.1+$U262*0.1+$V262*0.1+$W262*0.1+$X262*0.1+$Y262*0.1+$Z262*0.0001+$AA262*0.1+$AB262*(130/(3600*24))+$AC262*0.001+$AE262*0.0006+$AF262*0.002+$AG262*0.0006+$AH262*0.0002+$AI262*0.0002+$AJ262*0.000004+$AN262*0.0004</f>
        <v>0.20951388888888892</v>
      </c>
      <c r="AS262" s="14">
        <f>AR262/$AQ$260</f>
        <v>0.31649499053078778</v>
      </c>
    </row>
    <row r="263" spans="1:45" ht="36" customHeight="1" x14ac:dyDescent="0.25">
      <c r="A263" s="117"/>
      <c r="B263" s="118"/>
      <c r="C263" s="1">
        <v>2</v>
      </c>
      <c r="D263" s="70" t="s">
        <v>363</v>
      </c>
      <c r="E263" s="71"/>
      <c r="F263" s="72">
        <v>5.2111999999999998</v>
      </c>
      <c r="G263" s="15"/>
      <c r="H263" s="16"/>
      <c r="I263" s="16"/>
      <c r="J263" s="16"/>
      <c r="K263" s="16"/>
      <c r="L263" s="73"/>
      <c r="M263" s="73"/>
      <c r="N263" s="73"/>
      <c r="O263" s="73">
        <v>1</v>
      </c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4">
        <v>6</v>
      </c>
      <c r="AC263" s="75">
        <v>2</v>
      </c>
      <c r="AD263" s="74"/>
      <c r="AE263" s="75"/>
      <c r="AF263" s="5"/>
      <c r="AG263" s="8"/>
      <c r="AH263" s="8"/>
      <c r="AI263" s="8"/>
      <c r="AJ263" s="8"/>
      <c r="AK263" s="8"/>
      <c r="AL263" s="8"/>
      <c r="AM263" s="8"/>
      <c r="AN263" s="8"/>
      <c r="AO263" s="76">
        <v>-73.09841042499994</v>
      </c>
      <c r="AP263" s="77">
        <v>6.8100849840000706</v>
      </c>
      <c r="AQ263" s="13"/>
      <c r="AR263" s="64">
        <f t="shared" si="47"/>
        <v>0.11102777777777778</v>
      </c>
      <c r="AS263" s="14">
        <f>AR263/$AQ$260</f>
        <v>0.16772031516759148</v>
      </c>
    </row>
    <row r="264" spans="1:45" ht="23.25" customHeight="1" x14ac:dyDescent="0.25">
      <c r="A264" s="79"/>
      <c r="B264" s="2"/>
      <c r="C264" s="113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5"/>
      <c r="AQ264" s="78"/>
      <c r="AR264" s="7">
        <f>SUM(AR262:AR263)</f>
        <v>0.32054166666666672</v>
      </c>
      <c r="AS264" s="81">
        <f>SUM(AS262:AS263)</f>
        <v>0.48421530569837923</v>
      </c>
    </row>
    <row r="265" spans="1:45" ht="51.75" customHeight="1" x14ac:dyDescent="0.25"/>
    <row r="266" spans="1:45" ht="60.75" customHeight="1" x14ac:dyDescent="0.25"/>
    <row r="267" spans="1:45" ht="33.75" customHeight="1" x14ac:dyDescent="0.25">
      <c r="A267" s="126" t="s">
        <v>31</v>
      </c>
      <c r="B267" s="126" t="s">
        <v>32</v>
      </c>
      <c r="C267" s="127" t="s">
        <v>0</v>
      </c>
      <c r="D267" s="128" t="s">
        <v>1</v>
      </c>
      <c r="E267" s="128" t="s">
        <v>2</v>
      </c>
      <c r="F267" s="129" t="s">
        <v>3</v>
      </c>
      <c r="G267" s="116" t="s">
        <v>4</v>
      </c>
      <c r="H267" s="124" t="s">
        <v>5</v>
      </c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16" t="s">
        <v>6</v>
      </c>
      <c r="AC267" s="116" t="s">
        <v>7</v>
      </c>
      <c r="AD267" s="124" t="s">
        <v>8</v>
      </c>
      <c r="AE267" s="124" t="s">
        <v>9</v>
      </c>
      <c r="AF267" s="124"/>
      <c r="AG267" s="124"/>
      <c r="AH267" s="124"/>
      <c r="AI267" s="124"/>
      <c r="AJ267" s="124"/>
      <c r="AK267" s="124"/>
      <c r="AL267" s="124"/>
      <c r="AM267" s="124"/>
      <c r="AN267" s="124" t="s">
        <v>30</v>
      </c>
      <c r="AO267" s="125" t="s">
        <v>10</v>
      </c>
      <c r="AP267" s="125"/>
      <c r="AQ267" s="116" t="s">
        <v>11</v>
      </c>
      <c r="AR267" s="116" t="s">
        <v>12</v>
      </c>
      <c r="AS267" s="116" t="s">
        <v>13</v>
      </c>
    </row>
    <row r="268" spans="1:45" ht="63.75" customHeight="1" x14ac:dyDescent="0.25">
      <c r="A268" s="126"/>
      <c r="B268" s="126"/>
      <c r="C268" s="127"/>
      <c r="D268" s="128"/>
      <c r="E268" s="128"/>
      <c r="F268" s="129"/>
      <c r="G268" s="116"/>
      <c r="H268" s="19" t="s">
        <v>326</v>
      </c>
      <c r="I268" s="19" t="s">
        <v>69</v>
      </c>
      <c r="J268" s="19" t="s">
        <v>327</v>
      </c>
      <c r="K268" s="19" t="s">
        <v>70</v>
      </c>
      <c r="L268" s="19" t="s">
        <v>328</v>
      </c>
      <c r="M268" s="19" t="s">
        <v>71</v>
      </c>
      <c r="N268" s="19" t="s">
        <v>329</v>
      </c>
      <c r="O268" s="19" t="s">
        <v>72</v>
      </c>
      <c r="P268" s="19" t="s">
        <v>73</v>
      </c>
      <c r="Q268" s="19" t="s">
        <v>330</v>
      </c>
      <c r="R268" s="19" t="s">
        <v>331</v>
      </c>
      <c r="S268" s="19" t="s">
        <v>121</v>
      </c>
      <c r="T268" s="19" t="s">
        <v>16</v>
      </c>
      <c r="U268" s="19" t="s">
        <v>332</v>
      </c>
      <c r="V268" s="19" t="s">
        <v>122</v>
      </c>
      <c r="W268" s="19" t="s">
        <v>333</v>
      </c>
      <c r="X268" s="19" t="s">
        <v>170</v>
      </c>
      <c r="Y268" s="19" t="s">
        <v>152</v>
      </c>
      <c r="Z268" s="19" t="s">
        <v>14</v>
      </c>
      <c r="AA268" s="19" t="s">
        <v>334</v>
      </c>
      <c r="AB268" s="116"/>
      <c r="AC268" s="116"/>
      <c r="AD268" s="124"/>
      <c r="AE268" s="19" t="s">
        <v>19</v>
      </c>
      <c r="AF268" s="19" t="s">
        <v>335</v>
      </c>
      <c r="AG268" s="19" t="s">
        <v>336</v>
      </c>
      <c r="AH268" s="19" t="s">
        <v>337</v>
      </c>
      <c r="AI268" s="19" t="s">
        <v>21</v>
      </c>
      <c r="AJ268" s="19" t="s">
        <v>338</v>
      </c>
      <c r="AK268" s="19" t="s">
        <v>192</v>
      </c>
      <c r="AL268" s="19" t="s">
        <v>193</v>
      </c>
      <c r="AM268" s="19" t="s">
        <v>339</v>
      </c>
      <c r="AN268" s="124"/>
      <c r="AO268" s="2" t="s">
        <v>24</v>
      </c>
      <c r="AP268" s="2" t="s">
        <v>23</v>
      </c>
      <c r="AQ268" s="116"/>
      <c r="AR268" s="116"/>
      <c r="AS268" s="116"/>
    </row>
    <row r="269" spans="1:45" ht="26.25" customHeight="1" x14ac:dyDescent="0.25">
      <c r="A269" s="117">
        <v>2</v>
      </c>
      <c r="B269" s="118">
        <v>2</v>
      </c>
      <c r="C269" s="119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1"/>
      <c r="AP269" s="121"/>
      <c r="AQ269" s="34">
        <v>0.90165901250386726</v>
      </c>
      <c r="AR269" s="5"/>
      <c r="AS269" s="6"/>
    </row>
    <row r="270" spans="1:45" ht="27.75" customHeight="1" x14ac:dyDescent="0.25">
      <c r="A270" s="117"/>
      <c r="B270" s="118"/>
      <c r="C270" s="122" t="s">
        <v>464</v>
      </c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7"/>
      <c r="AP270" s="18"/>
      <c r="AQ270" s="7"/>
      <c r="AR270" s="8"/>
      <c r="AS270" s="4"/>
    </row>
    <row r="271" spans="1:45" ht="36" customHeight="1" x14ac:dyDescent="0.25">
      <c r="A271" s="117"/>
      <c r="B271" s="118"/>
      <c r="C271" s="1">
        <v>1</v>
      </c>
      <c r="D271" s="70" t="s">
        <v>364</v>
      </c>
      <c r="E271" s="71"/>
      <c r="F271" s="72">
        <v>6</v>
      </c>
      <c r="G271" s="15"/>
      <c r="H271" s="16"/>
      <c r="I271" s="16"/>
      <c r="J271" s="16"/>
      <c r="K271" s="16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>
        <v>1</v>
      </c>
      <c r="X271" s="73"/>
      <c r="Y271" s="73"/>
      <c r="Z271" s="73"/>
      <c r="AA271" s="73">
        <v>1</v>
      </c>
      <c r="AB271" s="74">
        <v>6</v>
      </c>
      <c r="AC271" s="75">
        <v>3</v>
      </c>
      <c r="AD271" s="74"/>
      <c r="AE271" s="75"/>
      <c r="AF271" s="5"/>
      <c r="AG271" s="8"/>
      <c r="AH271" s="8"/>
      <c r="AI271" s="8"/>
      <c r="AJ271" s="8"/>
      <c r="AK271" s="8"/>
      <c r="AL271" s="8"/>
      <c r="AM271" s="8"/>
      <c r="AN271" s="8"/>
      <c r="AO271" s="76">
        <v>-73.096350379999933</v>
      </c>
      <c r="AP271" s="77">
        <v>6.8096810400000436</v>
      </c>
      <c r="AQ271" s="13"/>
      <c r="AR271" s="64">
        <f t="shared" ref="AR271" si="48">$H271*0.1+$I271*0.1+$J271*0.1+$K271*0.1+$L271*0.1+$M271*0.1+$N271*0.1+$P271*0.1+$O271*0.1+$Q271*0.1+$R271*0.1+$S271*0.1+$T271*0.1+$U271*0.1+$V271*0.1+$W271*0.1+$X271*0.1+$Y271*0.1+$Z271*0.0001+$AA271*0.1+$AB271*(130/(3600*24))+$AC271*0.001+$AE271*0.0006+$AF271*0.002+$AG271*0.0006+$AH271*0.0002+$AI271*0.0002+$AJ271*0.000004+$AN271*0.0004</f>
        <v>0.21202777777777779</v>
      </c>
      <c r="AS271" s="14">
        <f>AR271/AQ269</f>
        <v>0.23515295121266078</v>
      </c>
    </row>
    <row r="272" spans="1:45" ht="23.25" customHeight="1" x14ac:dyDescent="0.25">
      <c r="A272" s="79"/>
      <c r="B272" s="2"/>
      <c r="C272" s="113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5"/>
      <c r="AQ272" s="78"/>
      <c r="AR272" s="7">
        <f>AR271</f>
        <v>0.21202777777777779</v>
      </c>
      <c r="AS272" s="81">
        <f>AS271</f>
        <v>0.23515295121266078</v>
      </c>
    </row>
    <row r="273" spans="1:45" ht="42.75" customHeight="1" x14ac:dyDescent="0.25"/>
    <row r="274" spans="1:45" ht="52.5" customHeight="1" x14ac:dyDescent="0.25"/>
    <row r="275" spans="1:45" ht="33.75" customHeight="1" x14ac:dyDescent="0.25">
      <c r="A275" s="126" t="s">
        <v>31</v>
      </c>
      <c r="B275" s="126" t="s">
        <v>32</v>
      </c>
      <c r="C275" s="127" t="s">
        <v>0</v>
      </c>
      <c r="D275" s="128" t="s">
        <v>1</v>
      </c>
      <c r="E275" s="128" t="s">
        <v>2</v>
      </c>
      <c r="F275" s="129" t="s">
        <v>3</v>
      </c>
      <c r="G275" s="116" t="s">
        <v>4</v>
      </c>
      <c r="H275" s="124" t="s">
        <v>493</v>
      </c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  <c r="AA275" s="124"/>
      <c r="AB275" s="116" t="s">
        <v>6</v>
      </c>
      <c r="AC275" s="116" t="s">
        <v>7</v>
      </c>
      <c r="AD275" s="124" t="s">
        <v>8</v>
      </c>
      <c r="AE275" s="124" t="s">
        <v>9</v>
      </c>
      <c r="AF275" s="124"/>
      <c r="AG275" s="124"/>
      <c r="AH275" s="124"/>
      <c r="AI275" s="124"/>
      <c r="AJ275" s="124"/>
      <c r="AK275" s="124"/>
      <c r="AL275" s="124"/>
      <c r="AM275" s="124"/>
      <c r="AN275" s="124" t="s">
        <v>30</v>
      </c>
      <c r="AO275" s="125" t="s">
        <v>10</v>
      </c>
      <c r="AP275" s="125"/>
      <c r="AQ275" s="116" t="s">
        <v>11</v>
      </c>
      <c r="AR275" s="116" t="s">
        <v>12</v>
      </c>
      <c r="AS275" s="116" t="s">
        <v>13</v>
      </c>
    </row>
    <row r="276" spans="1:45" ht="63.75" customHeight="1" x14ac:dyDescent="0.25">
      <c r="A276" s="126"/>
      <c r="B276" s="126"/>
      <c r="C276" s="127"/>
      <c r="D276" s="128"/>
      <c r="E276" s="128"/>
      <c r="F276" s="129"/>
      <c r="G276" s="116"/>
      <c r="H276" s="19" t="s">
        <v>326</v>
      </c>
      <c r="I276" s="19" t="s">
        <v>69</v>
      </c>
      <c r="J276" s="19" t="s">
        <v>327</v>
      </c>
      <c r="K276" s="19" t="s">
        <v>70</v>
      </c>
      <c r="L276" s="19" t="s">
        <v>328</v>
      </c>
      <c r="M276" s="19" t="s">
        <v>71</v>
      </c>
      <c r="N276" s="19" t="s">
        <v>329</v>
      </c>
      <c r="O276" s="19" t="s">
        <v>72</v>
      </c>
      <c r="P276" s="19" t="s">
        <v>73</v>
      </c>
      <c r="Q276" s="19" t="s">
        <v>330</v>
      </c>
      <c r="R276" s="19" t="s">
        <v>331</v>
      </c>
      <c r="S276" s="19" t="s">
        <v>121</v>
      </c>
      <c r="T276" s="19" t="s">
        <v>16</v>
      </c>
      <c r="U276" s="19" t="s">
        <v>332</v>
      </c>
      <c r="V276" s="19" t="s">
        <v>122</v>
      </c>
      <c r="W276" s="19" t="s">
        <v>333</v>
      </c>
      <c r="X276" s="19" t="s">
        <v>170</v>
      </c>
      <c r="Y276" s="19" t="s">
        <v>152</v>
      </c>
      <c r="Z276" s="19" t="s">
        <v>14</v>
      </c>
      <c r="AA276" s="19" t="s">
        <v>334</v>
      </c>
      <c r="AB276" s="116"/>
      <c r="AC276" s="116"/>
      <c r="AD276" s="124"/>
      <c r="AE276" s="19" t="s">
        <v>19</v>
      </c>
      <c r="AF276" s="19" t="s">
        <v>335</v>
      </c>
      <c r="AG276" s="19" t="s">
        <v>336</v>
      </c>
      <c r="AH276" s="19" t="s">
        <v>337</v>
      </c>
      <c r="AI276" s="19" t="s">
        <v>21</v>
      </c>
      <c r="AJ276" s="19" t="s">
        <v>338</v>
      </c>
      <c r="AK276" s="19" t="s">
        <v>192</v>
      </c>
      <c r="AL276" s="19" t="s">
        <v>193</v>
      </c>
      <c r="AM276" s="19" t="s">
        <v>339</v>
      </c>
      <c r="AN276" s="124"/>
      <c r="AO276" s="2" t="s">
        <v>24</v>
      </c>
      <c r="AP276" s="2" t="s">
        <v>23</v>
      </c>
      <c r="AQ276" s="116"/>
      <c r="AR276" s="116"/>
      <c r="AS276" s="116"/>
    </row>
    <row r="277" spans="1:45" ht="26.25" customHeight="1" x14ac:dyDescent="0.25">
      <c r="A277" s="117">
        <v>3</v>
      </c>
      <c r="B277" s="118">
        <v>3</v>
      </c>
      <c r="C277" s="119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1"/>
      <c r="AP277" s="121"/>
      <c r="AQ277" s="34">
        <v>1.2355915615038517</v>
      </c>
      <c r="AR277" s="5"/>
      <c r="AS277" s="6"/>
    </row>
    <row r="278" spans="1:45" ht="27.75" customHeight="1" x14ac:dyDescent="0.25">
      <c r="A278" s="117"/>
      <c r="B278" s="118"/>
      <c r="C278" s="122" t="s">
        <v>465</v>
      </c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7"/>
      <c r="AP278" s="18"/>
      <c r="AQ278" s="7"/>
      <c r="AR278" s="8"/>
      <c r="AS278" s="4"/>
    </row>
    <row r="279" spans="1:45" ht="36" customHeight="1" x14ac:dyDescent="0.25">
      <c r="A279" s="117"/>
      <c r="B279" s="118"/>
      <c r="C279" s="1">
        <v>1</v>
      </c>
      <c r="D279" s="70" t="s">
        <v>365</v>
      </c>
      <c r="E279" s="71"/>
      <c r="F279" s="72">
        <v>84.65</v>
      </c>
      <c r="G279" s="15"/>
      <c r="H279" s="16"/>
      <c r="I279" s="16"/>
      <c r="J279" s="16"/>
      <c r="K279" s="16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>
        <v>10</v>
      </c>
      <c r="W279" s="73"/>
      <c r="X279" s="73"/>
      <c r="Y279" s="73"/>
      <c r="Z279" s="73"/>
      <c r="AA279" s="73"/>
      <c r="AB279" s="74">
        <v>6</v>
      </c>
      <c r="AC279" s="75">
        <v>20</v>
      </c>
      <c r="AD279" s="74"/>
      <c r="AE279" s="75"/>
      <c r="AF279" s="5"/>
      <c r="AG279" s="8"/>
      <c r="AH279" s="8"/>
      <c r="AI279" s="8"/>
      <c r="AJ279" s="8"/>
      <c r="AK279" s="8"/>
      <c r="AL279" s="8"/>
      <c r="AM279" s="8"/>
      <c r="AN279" s="8"/>
      <c r="AO279" s="76">
        <v>-73.116023999999996</v>
      </c>
      <c r="AP279" s="77">
        <v>6.8103939999999996</v>
      </c>
      <c r="AQ279" s="13"/>
      <c r="AR279" s="64">
        <f t="shared" ref="AR279" si="49">$H279*0.1+$I279*0.1+$J279*0.1+$K279*0.1+$L279*0.1+$M279*0.1+$N279*0.1+$P279*0.1+$O279*0.1+$Q279*0.1+$R279*0.1+$S279*0.1+$T279*0.1+$U279*0.1+$V279*0.1+$W279*0.1+$X279*0.1+$Y279*0.1+$Z279*0.0001+$AA279*0.1+$AB279*(130/(3600*24))+$AC279*0.001+$AE279*0.0006+$AF279*0.002+$AG279*0.0006+$AH279*0.0002+$AI279*0.0002+$AJ279*0.000004+$AN279*0.0004</f>
        <v>1.0290277777777779</v>
      </c>
      <c r="AS279" s="14">
        <f>AR279/$AQ$277</f>
        <v>0.83282195333653553</v>
      </c>
    </row>
    <row r="280" spans="1:45" ht="23.25" customHeight="1" x14ac:dyDescent="0.25">
      <c r="A280" s="79"/>
      <c r="B280" s="2"/>
      <c r="C280" s="113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5"/>
      <c r="AQ280" s="78"/>
      <c r="AR280" s="7">
        <f>AR279</f>
        <v>1.0290277777777779</v>
      </c>
      <c r="AS280" s="51">
        <f>AS279</f>
        <v>0.83282195333653553</v>
      </c>
    </row>
    <row r="281" spans="1:45" ht="45" customHeight="1" x14ac:dyDescent="0.25"/>
    <row r="282" spans="1:45" ht="52.5" customHeight="1" x14ac:dyDescent="0.25"/>
    <row r="283" spans="1:45" ht="33.75" customHeight="1" x14ac:dyDescent="0.25">
      <c r="A283" s="126" t="s">
        <v>31</v>
      </c>
      <c r="B283" s="126" t="s">
        <v>32</v>
      </c>
      <c r="C283" s="127" t="s">
        <v>0</v>
      </c>
      <c r="D283" s="128" t="s">
        <v>1</v>
      </c>
      <c r="E283" s="128" t="s">
        <v>2</v>
      </c>
      <c r="F283" s="129" t="s">
        <v>3</v>
      </c>
      <c r="G283" s="116" t="s">
        <v>4</v>
      </c>
      <c r="H283" s="124" t="s">
        <v>496</v>
      </c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  <c r="AB283" s="116" t="s">
        <v>6</v>
      </c>
      <c r="AC283" s="116" t="s">
        <v>7</v>
      </c>
      <c r="AD283" s="124" t="s">
        <v>8</v>
      </c>
      <c r="AE283" s="124" t="s">
        <v>9</v>
      </c>
      <c r="AF283" s="124"/>
      <c r="AG283" s="124"/>
      <c r="AH283" s="124"/>
      <c r="AI283" s="124"/>
      <c r="AJ283" s="124"/>
      <c r="AK283" s="124"/>
      <c r="AL283" s="124"/>
      <c r="AM283" s="124"/>
      <c r="AN283" s="124" t="s">
        <v>30</v>
      </c>
      <c r="AO283" s="125" t="s">
        <v>10</v>
      </c>
      <c r="AP283" s="125"/>
      <c r="AQ283" s="116" t="s">
        <v>11</v>
      </c>
      <c r="AR283" s="116" t="s">
        <v>12</v>
      </c>
      <c r="AS283" s="116" t="s">
        <v>13</v>
      </c>
    </row>
    <row r="284" spans="1:45" ht="63.75" customHeight="1" x14ac:dyDescent="0.25">
      <c r="A284" s="126"/>
      <c r="B284" s="126"/>
      <c r="C284" s="127"/>
      <c r="D284" s="128"/>
      <c r="E284" s="128"/>
      <c r="F284" s="129"/>
      <c r="G284" s="116"/>
      <c r="H284" s="19" t="s">
        <v>326</v>
      </c>
      <c r="I284" s="19" t="s">
        <v>69</v>
      </c>
      <c r="J284" s="19" t="s">
        <v>327</v>
      </c>
      <c r="K284" s="19" t="s">
        <v>70</v>
      </c>
      <c r="L284" s="19" t="s">
        <v>328</v>
      </c>
      <c r="M284" s="19" t="s">
        <v>71</v>
      </c>
      <c r="N284" s="19" t="s">
        <v>329</v>
      </c>
      <c r="O284" s="19" t="s">
        <v>72</v>
      </c>
      <c r="P284" s="19" t="s">
        <v>73</v>
      </c>
      <c r="Q284" s="19" t="s">
        <v>330</v>
      </c>
      <c r="R284" s="19" t="s">
        <v>331</v>
      </c>
      <c r="S284" s="19" t="s">
        <v>121</v>
      </c>
      <c r="T284" s="19" t="s">
        <v>16</v>
      </c>
      <c r="U284" s="19" t="s">
        <v>332</v>
      </c>
      <c r="V284" s="19" t="s">
        <v>122</v>
      </c>
      <c r="W284" s="19" t="s">
        <v>333</v>
      </c>
      <c r="X284" s="19" t="s">
        <v>170</v>
      </c>
      <c r="Y284" s="19" t="s">
        <v>152</v>
      </c>
      <c r="Z284" s="19" t="s">
        <v>14</v>
      </c>
      <c r="AA284" s="19" t="s">
        <v>334</v>
      </c>
      <c r="AB284" s="116"/>
      <c r="AC284" s="116"/>
      <c r="AD284" s="124"/>
      <c r="AE284" s="19" t="s">
        <v>19</v>
      </c>
      <c r="AF284" s="19" t="s">
        <v>335</v>
      </c>
      <c r="AG284" s="19" t="s">
        <v>336</v>
      </c>
      <c r="AH284" s="19" t="s">
        <v>337</v>
      </c>
      <c r="AI284" s="19" t="s">
        <v>21</v>
      </c>
      <c r="AJ284" s="19" t="s">
        <v>338</v>
      </c>
      <c r="AK284" s="19" t="s">
        <v>192</v>
      </c>
      <c r="AL284" s="19" t="s">
        <v>193</v>
      </c>
      <c r="AM284" s="19" t="s">
        <v>339</v>
      </c>
      <c r="AN284" s="124"/>
      <c r="AO284" s="2" t="s">
        <v>24</v>
      </c>
      <c r="AP284" s="2" t="s">
        <v>23</v>
      </c>
      <c r="AQ284" s="116"/>
      <c r="AR284" s="116"/>
      <c r="AS284" s="116"/>
    </row>
    <row r="285" spans="1:45" ht="26.25" customHeight="1" x14ac:dyDescent="0.25">
      <c r="A285" s="117">
        <v>4</v>
      </c>
      <c r="B285" s="118">
        <v>4</v>
      </c>
      <c r="C285" s="119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1"/>
      <c r="AP285" s="121"/>
      <c r="AQ285" s="34">
        <v>0.66265229172190121</v>
      </c>
      <c r="AR285" s="5"/>
      <c r="AS285" s="6"/>
    </row>
    <row r="286" spans="1:45" ht="27.75" customHeight="1" x14ac:dyDescent="0.25">
      <c r="A286" s="117"/>
      <c r="B286" s="118"/>
      <c r="C286" s="122" t="s">
        <v>466</v>
      </c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7"/>
      <c r="AP286" s="18"/>
      <c r="AQ286" s="7"/>
      <c r="AR286" s="8"/>
      <c r="AS286" s="4"/>
    </row>
    <row r="287" spans="1:45" ht="36" customHeight="1" x14ac:dyDescent="0.25">
      <c r="A287" s="117"/>
      <c r="B287" s="118"/>
      <c r="C287" s="1">
        <v>1</v>
      </c>
      <c r="D287" s="70" t="s">
        <v>366</v>
      </c>
      <c r="E287" s="71"/>
      <c r="F287" s="72">
        <v>20</v>
      </c>
      <c r="G287" s="15"/>
      <c r="H287" s="16"/>
      <c r="I287" s="16"/>
      <c r="J287" s="16"/>
      <c r="K287" s="16"/>
      <c r="L287" s="73"/>
      <c r="M287" s="73">
        <v>2</v>
      </c>
      <c r="N287" s="73"/>
      <c r="O287" s="73"/>
      <c r="P287" s="73"/>
      <c r="Q287" s="73"/>
      <c r="R287" s="73"/>
      <c r="S287" s="73"/>
      <c r="T287" s="73"/>
      <c r="U287" s="73"/>
      <c r="V287" s="73">
        <v>4</v>
      </c>
      <c r="W287" s="73"/>
      <c r="X287" s="73"/>
      <c r="Y287" s="73"/>
      <c r="Z287" s="73"/>
      <c r="AA287" s="73"/>
      <c r="AB287" s="74">
        <v>4</v>
      </c>
      <c r="AC287" s="75">
        <v>5</v>
      </c>
      <c r="AD287" s="74"/>
      <c r="AE287" s="75"/>
      <c r="AF287" s="5"/>
      <c r="AG287" s="8"/>
      <c r="AH287" s="8">
        <v>5</v>
      </c>
      <c r="AI287" s="8"/>
      <c r="AJ287" s="8">
        <v>20</v>
      </c>
      <c r="AK287" s="8"/>
      <c r="AL287" s="8"/>
      <c r="AM287" s="8"/>
      <c r="AN287" s="8"/>
      <c r="AO287" s="76">
        <v>-73.092502993999972</v>
      </c>
      <c r="AP287" s="77">
        <v>6.7939244990000702</v>
      </c>
      <c r="AQ287" s="13"/>
      <c r="AR287" s="64">
        <f t="shared" ref="AR287" si="50">$H287*0.1+$I287*0.1+$J287*0.1+$K287*0.1+$L287*0.1+$M287*0.1+$N287*0.1+$P287*0.1+$O287*0.1+$Q287*0.1+$R287*0.1+$S287*0.1+$T287*0.1+$U287*0.1+$V287*0.1+$W287*0.1+$X287*0.1+$Y287*0.1+$Z287*0.0001+$AA287*0.1+$AB287*(130/(3600*24))+$AC287*0.001+$AE287*0.0006+$AF287*0.002+$AG287*0.0006+$AH287*0.0002+$AI287*0.0002+$AJ287*0.000004+$AN287*0.0004</f>
        <v>0.6120985185185186</v>
      </c>
      <c r="AS287" s="14">
        <f>AR287/AQ285</f>
        <v>0.92370995492671026</v>
      </c>
    </row>
    <row r="288" spans="1:45" ht="23.25" customHeight="1" x14ac:dyDescent="0.25">
      <c r="A288" s="79"/>
      <c r="B288" s="2"/>
      <c r="C288" s="113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5"/>
      <c r="AQ288" s="78"/>
      <c r="AR288" s="7">
        <f>AR287</f>
        <v>0.6120985185185186</v>
      </c>
      <c r="AS288" s="51">
        <f>AS287</f>
        <v>0.92370995492671026</v>
      </c>
    </row>
    <row r="289" spans="1:45" ht="49.5" customHeight="1" x14ac:dyDescent="0.25"/>
    <row r="290" spans="1:45" ht="49.5" customHeight="1" x14ac:dyDescent="0.25"/>
    <row r="291" spans="1:45" ht="33.75" customHeight="1" x14ac:dyDescent="0.25">
      <c r="A291" s="126" t="s">
        <v>31</v>
      </c>
      <c r="B291" s="126" t="s">
        <v>32</v>
      </c>
      <c r="C291" s="127" t="s">
        <v>0</v>
      </c>
      <c r="D291" s="128" t="s">
        <v>1</v>
      </c>
      <c r="E291" s="128" t="s">
        <v>2</v>
      </c>
      <c r="F291" s="129" t="s">
        <v>3</v>
      </c>
      <c r="G291" s="116" t="s">
        <v>4</v>
      </c>
      <c r="H291" s="124" t="s">
        <v>495</v>
      </c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16" t="s">
        <v>6</v>
      </c>
      <c r="AC291" s="116" t="s">
        <v>7</v>
      </c>
      <c r="AD291" s="124" t="s">
        <v>8</v>
      </c>
      <c r="AE291" s="124" t="s">
        <v>9</v>
      </c>
      <c r="AF291" s="124"/>
      <c r="AG291" s="124"/>
      <c r="AH291" s="124"/>
      <c r="AI291" s="124"/>
      <c r="AJ291" s="124"/>
      <c r="AK291" s="124"/>
      <c r="AL291" s="124"/>
      <c r="AM291" s="124"/>
      <c r="AN291" s="124" t="s">
        <v>30</v>
      </c>
      <c r="AO291" s="125" t="s">
        <v>10</v>
      </c>
      <c r="AP291" s="125"/>
      <c r="AQ291" s="116" t="s">
        <v>11</v>
      </c>
      <c r="AR291" s="116" t="s">
        <v>12</v>
      </c>
      <c r="AS291" s="116" t="s">
        <v>13</v>
      </c>
    </row>
    <row r="292" spans="1:45" ht="63.75" customHeight="1" x14ac:dyDescent="0.25">
      <c r="A292" s="126"/>
      <c r="B292" s="126"/>
      <c r="C292" s="127"/>
      <c r="D292" s="128"/>
      <c r="E292" s="128"/>
      <c r="F292" s="129"/>
      <c r="G292" s="116"/>
      <c r="H292" s="19" t="s">
        <v>326</v>
      </c>
      <c r="I292" s="19" t="s">
        <v>69</v>
      </c>
      <c r="J292" s="19" t="s">
        <v>327</v>
      </c>
      <c r="K292" s="19" t="s">
        <v>70</v>
      </c>
      <c r="L292" s="19" t="s">
        <v>328</v>
      </c>
      <c r="M292" s="19" t="s">
        <v>71</v>
      </c>
      <c r="N292" s="19" t="s">
        <v>329</v>
      </c>
      <c r="O292" s="19" t="s">
        <v>72</v>
      </c>
      <c r="P292" s="19" t="s">
        <v>73</v>
      </c>
      <c r="Q292" s="19" t="s">
        <v>330</v>
      </c>
      <c r="R292" s="19" t="s">
        <v>331</v>
      </c>
      <c r="S292" s="19" t="s">
        <v>121</v>
      </c>
      <c r="T292" s="19" t="s">
        <v>16</v>
      </c>
      <c r="U292" s="19" t="s">
        <v>332</v>
      </c>
      <c r="V292" s="19" t="s">
        <v>122</v>
      </c>
      <c r="W292" s="19" t="s">
        <v>333</v>
      </c>
      <c r="X292" s="19" t="s">
        <v>170</v>
      </c>
      <c r="Y292" s="19" t="s">
        <v>152</v>
      </c>
      <c r="Z292" s="19" t="s">
        <v>14</v>
      </c>
      <c r="AA292" s="19" t="s">
        <v>334</v>
      </c>
      <c r="AB292" s="116"/>
      <c r="AC292" s="116"/>
      <c r="AD292" s="124"/>
      <c r="AE292" s="19" t="s">
        <v>19</v>
      </c>
      <c r="AF292" s="19" t="s">
        <v>335</v>
      </c>
      <c r="AG292" s="19" t="s">
        <v>336</v>
      </c>
      <c r="AH292" s="19" t="s">
        <v>337</v>
      </c>
      <c r="AI292" s="19" t="s">
        <v>21</v>
      </c>
      <c r="AJ292" s="19" t="s">
        <v>338</v>
      </c>
      <c r="AK292" s="19" t="s">
        <v>192</v>
      </c>
      <c r="AL292" s="19" t="s">
        <v>193</v>
      </c>
      <c r="AM292" s="19" t="s">
        <v>339</v>
      </c>
      <c r="AN292" s="124"/>
      <c r="AO292" s="2" t="s">
        <v>24</v>
      </c>
      <c r="AP292" s="2" t="s">
        <v>23</v>
      </c>
      <c r="AQ292" s="116"/>
      <c r="AR292" s="116"/>
      <c r="AS292" s="116"/>
    </row>
    <row r="293" spans="1:45" ht="26.25" customHeight="1" x14ac:dyDescent="0.25">
      <c r="A293" s="117">
        <v>5</v>
      </c>
      <c r="B293" s="118">
        <v>5</v>
      </c>
      <c r="C293" s="119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1"/>
      <c r="AP293" s="121"/>
      <c r="AQ293" s="34">
        <v>0.44362054388196448</v>
      </c>
      <c r="AR293" s="5"/>
      <c r="AS293" s="6"/>
    </row>
    <row r="294" spans="1:45" ht="27.75" customHeight="1" x14ac:dyDescent="0.25">
      <c r="A294" s="117"/>
      <c r="B294" s="118"/>
      <c r="C294" s="122" t="s">
        <v>467</v>
      </c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7"/>
      <c r="AP294" s="18"/>
      <c r="AQ294" s="7"/>
      <c r="AR294" s="8"/>
      <c r="AS294" s="4"/>
    </row>
    <row r="295" spans="1:45" ht="36" customHeight="1" x14ac:dyDescent="0.25">
      <c r="A295" s="117"/>
      <c r="B295" s="118"/>
      <c r="C295" s="1">
        <v>1</v>
      </c>
      <c r="D295" s="70" t="s">
        <v>367</v>
      </c>
      <c r="E295" s="71"/>
      <c r="F295" s="72">
        <v>20</v>
      </c>
      <c r="G295" s="15"/>
      <c r="H295" s="16"/>
      <c r="I295" s="16"/>
      <c r="J295" s="16"/>
      <c r="K295" s="16"/>
      <c r="L295" s="73"/>
      <c r="M295" s="73">
        <v>0.5</v>
      </c>
      <c r="N295" s="73"/>
      <c r="O295" s="73"/>
      <c r="P295" s="73"/>
      <c r="Q295" s="73"/>
      <c r="R295" s="73"/>
      <c r="S295" s="73">
        <v>0.5</v>
      </c>
      <c r="T295" s="73"/>
      <c r="U295" s="73"/>
      <c r="V295" s="73"/>
      <c r="W295" s="73"/>
      <c r="X295" s="73"/>
      <c r="Y295" s="73"/>
      <c r="Z295" s="73"/>
      <c r="AA295" s="73"/>
      <c r="AB295" s="74">
        <v>27</v>
      </c>
      <c r="AC295" s="75">
        <v>4</v>
      </c>
      <c r="AD295" s="74"/>
      <c r="AE295" s="75">
        <v>40</v>
      </c>
      <c r="AF295" s="5"/>
      <c r="AG295" s="8"/>
      <c r="AH295" s="8"/>
      <c r="AI295" s="8"/>
      <c r="AJ295" s="8">
        <v>42000</v>
      </c>
      <c r="AK295" s="8"/>
      <c r="AL295" s="8"/>
      <c r="AM295" s="8"/>
      <c r="AN295" s="8"/>
      <c r="AO295" s="76">
        <v>-73.095844635999981</v>
      </c>
      <c r="AP295" s="77">
        <v>6.8010797790000774</v>
      </c>
      <c r="AQ295" s="13"/>
      <c r="AR295" s="64">
        <f t="shared" ref="AR295" si="51">$H295*0.1+$I295*0.1+$J295*0.1+$K295*0.1+$L295*0.1+$M295*0.1+$N295*0.1+$P295*0.1+$O295*0.1+$Q295*0.1+$R295*0.1+$S295*0.1+$T295*0.1+$U295*0.1+$V295*0.1+$W295*0.1+$X295*0.1+$Y295*0.1+$Z295*0.0001+$AA295*0.1+$AB295*(130/(3600*24))+$AC295*0.001+$AE295*0.0006+$AF295*0.002+$AG295*0.0006+$AH295*0.0002+$AI295*0.0002+$AJ295*0.000004+$AN295*0.0004</f>
        <v>0.33662499999999995</v>
      </c>
      <c r="AS295" s="14">
        <f>AR295/AQ293</f>
        <v>0.75881291937996187</v>
      </c>
    </row>
    <row r="296" spans="1:45" ht="23.25" customHeight="1" x14ac:dyDescent="0.25">
      <c r="A296" s="79"/>
      <c r="B296" s="2"/>
      <c r="C296" s="113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5"/>
      <c r="AQ296" s="78"/>
      <c r="AR296" s="7">
        <f>AR295</f>
        <v>0.33662499999999995</v>
      </c>
      <c r="AS296" s="51">
        <f>AS295</f>
        <v>0.75881291937996187</v>
      </c>
    </row>
    <row r="297" spans="1:45" ht="42.75" customHeight="1" x14ac:dyDescent="0.25"/>
    <row r="298" spans="1:45" ht="48.75" customHeight="1" x14ac:dyDescent="0.25"/>
    <row r="299" spans="1:45" ht="33.75" customHeight="1" x14ac:dyDescent="0.25">
      <c r="A299" s="126" t="s">
        <v>31</v>
      </c>
      <c r="B299" s="126" t="s">
        <v>32</v>
      </c>
      <c r="C299" s="127" t="s">
        <v>0</v>
      </c>
      <c r="D299" s="128" t="s">
        <v>1</v>
      </c>
      <c r="E299" s="128" t="s">
        <v>2</v>
      </c>
      <c r="F299" s="129" t="s">
        <v>3</v>
      </c>
      <c r="G299" s="116" t="s">
        <v>4</v>
      </c>
      <c r="H299" s="124" t="s">
        <v>5</v>
      </c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16" t="s">
        <v>6</v>
      </c>
      <c r="AC299" s="116" t="s">
        <v>7</v>
      </c>
      <c r="AD299" s="124" t="s">
        <v>8</v>
      </c>
      <c r="AE299" s="124" t="s">
        <v>9</v>
      </c>
      <c r="AF299" s="124"/>
      <c r="AG299" s="124"/>
      <c r="AH299" s="124"/>
      <c r="AI299" s="124"/>
      <c r="AJ299" s="124"/>
      <c r="AK299" s="124"/>
      <c r="AL299" s="124"/>
      <c r="AM299" s="124"/>
      <c r="AN299" s="124" t="s">
        <v>30</v>
      </c>
      <c r="AO299" s="125" t="s">
        <v>10</v>
      </c>
      <c r="AP299" s="125"/>
      <c r="AQ299" s="116" t="s">
        <v>11</v>
      </c>
      <c r="AR299" s="116" t="s">
        <v>12</v>
      </c>
      <c r="AS299" s="116" t="s">
        <v>13</v>
      </c>
    </row>
    <row r="300" spans="1:45" ht="63.75" customHeight="1" x14ac:dyDescent="0.25">
      <c r="A300" s="126"/>
      <c r="B300" s="126"/>
      <c r="C300" s="127"/>
      <c r="D300" s="128"/>
      <c r="E300" s="128"/>
      <c r="F300" s="129"/>
      <c r="G300" s="116"/>
      <c r="H300" s="19" t="s">
        <v>326</v>
      </c>
      <c r="I300" s="19" t="s">
        <v>69</v>
      </c>
      <c r="J300" s="19" t="s">
        <v>327</v>
      </c>
      <c r="K300" s="19" t="s">
        <v>70</v>
      </c>
      <c r="L300" s="19" t="s">
        <v>328</v>
      </c>
      <c r="M300" s="19" t="s">
        <v>71</v>
      </c>
      <c r="N300" s="19" t="s">
        <v>329</v>
      </c>
      <c r="O300" s="19" t="s">
        <v>72</v>
      </c>
      <c r="P300" s="19" t="s">
        <v>73</v>
      </c>
      <c r="Q300" s="19" t="s">
        <v>330</v>
      </c>
      <c r="R300" s="19" t="s">
        <v>331</v>
      </c>
      <c r="S300" s="19" t="s">
        <v>121</v>
      </c>
      <c r="T300" s="19" t="s">
        <v>16</v>
      </c>
      <c r="U300" s="19" t="s">
        <v>332</v>
      </c>
      <c r="V300" s="19" t="s">
        <v>122</v>
      </c>
      <c r="W300" s="19" t="s">
        <v>333</v>
      </c>
      <c r="X300" s="19" t="s">
        <v>170</v>
      </c>
      <c r="Y300" s="19" t="s">
        <v>152</v>
      </c>
      <c r="Z300" s="19" t="s">
        <v>14</v>
      </c>
      <c r="AA300" s="19" t="s">
        <v>334</v>
      </c>
      <c r="AB300" s="116"/>
      <c r="AC300" s="116"/>
      <c r="AD300" s="124"/>
      <c r="AE300" s="19" t="s">
        <v>19</v>
      </c>
      <c r="AF300" s="19" t="s">
        <v>335</v>
      </c>
      <c r="AG300" s="19" t="s">
        <v>336</v>
      </c>
      <c r="AH300" s="19" t="s">
        <v>337</v>
      </c>
      <c r="AI300" s="19" t="s">
        <v>21</v>
      </c>
      <c r="AJ300" s="19" t="s">
        <v>338</v>
      </c>
      <c r="AK300" s="19" t="s">
        <v>192</v>
      </c>
      <c r="AL300" s="19" t="s">
        <v>193</v>
      </c>
      <c r="AM300" s="19" t="s">
        <v>339</v>
      </c>
      <c r="AN300" s="124"/>
      <c r="AO300" s="2" t="s">
        <v>24</v>
      </c>
      <c r="AP300" s="2" t="s">
        <v>23</v>
      </c>
      <c r="AQ300" s="116"/>
      <c r="AR300" s="116"/>
      <c r="AS300" s="116"/>
    </row>
    <row r="301" spans="1:45" ht="26.25" customHeight="1" x14ac:dyDescent="0.25">
      <c r="A301" s="117">
        <v>6</v>
      </c>
      <c r="B301" s="118">
        <v>6</v>
      </c>
      <c r="C301" s="119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1"/>
      <c r="AP301" s="121"/>
      <c r="AQ301" s="34">
        <v>0.86065398747604904</v>
      </c>
      <c r="AR301" s="5"/>
      <c r="AS301" s="6"/>
    </row>
    <row r="302" spans="1:45" ht="27.75" customHeight="1" x14ac:dyDescent="0.25">
      <c r="A302" s="117"/>
      <c r="B302" s="118"/>
      <c r="C302" s="122" t="s">
        <v>468</v>
      </c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7"/>
      <c r="AP302" s="18"/>
      <c r="AQ302" s="7"/>
      <c r="AR302" s="8"/>
      <c r="AS302" s="4"/>
    </row>
    <row r="303" spans="1:45" ht="36" customHeight="1" x14ac:dyDescent="0.25">
      <c r="A303" s="117"/>
      <c r="B303" s="118"/>
      <c r="C303" s="1">
        <v>1</v>
      </c>
      <c r="D303" s="70" t="s">
        <v>368</v>
      </c>
      <c r="E303" s="71"/>
      <c r="F303" s="72">
        <v>3</v>
      </c>
      <c r="G303" s="15"/>
      <c r="H303" s="16"/>
      <c r="I303" s="16">
        <v>0.5</v>
      </c>
      <c r="J303" s="16"/>
      <c r="K303" s="16"/>
      <c r="L303" s="73"/>
      <c r="M303" s="73"/>
      <c r="N303" s="73"/>
      <c r="O303" s="73"/>
      <c r="P303" s="73">
        <v>0.5</v>
      </c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4"/>
      <c r="AC303" s="75"/>
      <c r="AD303" s="74"/>
      <c r="AE303" s="75"/>
      <c r="AF303" s="5"/>
      <c r="AG303" s="8"/>
      <c r="AH303" s="8"/>
      <c r="AI303" s="8"/>
      <c r="AJ303" s="8"/>
      <c r="AK303" s="8"/>
      <c r="AL303" s="8"/>
      <c r="AM303" s="8"/>
      <c r="AN303" s="8"/>
      <c r="AO303" s="76">
        <v>-73.095379469999955</v>
      </c>
      <c r="AP303" s="77">
        <v>6.8027828160000468</v>
      </c>
      <c r="AQ303" s="13"/>
      <c r="AR303" s="64">
        <f t="shared" ref="AR303:AR305" si="52">$H303*0.1+$I303*0.1+$J303*0.1+$K303*0.1+$L303*0.1+$M303*0.1+$N303*0.1+$P303*0.1+$O303*0.1+$Q303*0.1+$R303*0.1+$S303*0.1+$T303*0.1+$U303*0.1+$V303*0.1+$W303*0.1+$X303*0.1+$Y303*0.1+$Z303*0.0001+$AA303*0.1+$AB303*(130/(3600*24))+$AC303*0.001+$AE303*0.0006+$AF303*0.002+$AG303*0.0006+$AH303*0.0002+$AI303*0.0002+$AJ303*0.000004+$AN303*0.0004</f>
        <v>0.1</v>
      </c>
      <c r="AS303" s="14">
        <f>AR303/$AQ$301</f>
        <v>0.1161907124758228</v>
      </c>
    </row>
    <row r="304" spans="1:45" ht="36" customHeight="1" x14ac:dyDescent="0.25">
      <c r="A304" s="117"/>
      <c r="B304" s="118"/>
      <c r="C304" s="1">
        <v>4</v>
      </c>
      <c r="D304" s="70" t="s">
        <v>369</v>
      </c>
      <c r="E304" s="71"/>
      <c r="F304" s="72">
        <v>8</v>
      </c>
      <c r="G304" s="15"/>
      <c r="H304" s="16"/>
      <c r="I304" s="16"/>
      <c r="J304" s="16"/>
      <c r="K304" s="16"/>
      <c r="L304" s="73"/>
      <c r="M304" s="73"/>
      <c r="N304" s="73"/>
      <c r="O304" s="73"/>
      <c r="P304" s="73">
        <v>1</v>
      </c>
      <c r="Q304" s="73"/>
      <c r="R304" s="73"/>
      <c r="S304" s="73"/>
      <c r="T304" s="73"/>
      <c r="U304" s="73"/>
      <c r="V304" s="73"/>
      <c r="W304" s="73">
        <v>1</v>
      </c>
      <c r="X304" s="73"/>
      <c r="Y304" s="73"/>
      <c r="Z304" s="73"/>
      <c r="AA304" s="73">
        <v>2</v>
      </c>
      <c r="AB304" s="74"/>
      <c r="AC304" s="75"/>
      <c r="AD304" s="74"/>
      <c r="AE304" s="75"/>
      <c r="AF304" s="5"/>
      <c r="AG304" s="8"/>
      <c r="AH304" s="8"/>
      <c r="AI304" s="8"/>
      <c r="AJ304" s="8"/>
      <c r="AK304" s="8"/>
      <c r="AL304" s="8"/>
      <c r="AM304" s="8"/>
      <c r="AN304" s="8"/>
      <c r="AO304" s="76">
        <v>-73.098979819999954</v>
      </c>
      <c r="AP304" s="77">
        <v>6.8020956260000389</v>
      </c>
      <c r="AQ304" s="13"/>
      <c r="AR304" s="64">
        <f t="shared" si="52"/>
        <v>0.4</v>
      </c>
      <c r="AS304" s="14">
        <f t="shared" ref="AS304" si="53">AR304/$AQ$301</f>
        <v>0.4647628499032912</v>
      </c>
    </row>
    <row r="305" spans="1:45" ht="36" customHeight="1" x14ac:dyDescent="0.25">
      <c r="A305" s="117"/>
      <c r="B305" s="118"/>
      <c r="C305" s="1">
        <v>5</v>
      </c>
      <c r="D305" s="70" t="s">
        <v>370</v>
      </c>
      <c r="E305" s="71"/>
      <c r="F305" s="72">
        <v>8</v>
      </c>
      <c r="G305" s="15"/>
      <c r="H305" s="16"/>
      <c r="I305" s="16"/>
      <c r="J305" s="16"/>
      <c r="K305" s="16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4">
        <v>4</v>
      </c>
      <c r="AC305" s="75">
        <v>5</v>
      </c>
      <c r="AD305" s="74"/>
      <c r="AE305" s="75"/>
      <c r="AF305" s="5"/>
      <c r="AG305" s="8"/>
      <c r="AH305" s="8"/>
      <c r="AI305" s="8"/>
      <c r="AJ305" s="8"/>
      <c r="AK305" s="8"/>
      <c r="AL305" s="8"/>
      <c r="AM305" s="8"/>
      <c r="AN305" s="8"/>
      <c r="AO305" s="76">
        <v>-73.094075490999955</v>
      </c>
      <c r="AP305" s="77">
        <v>6.8033349330000306</v>
      </c>
      <c r="AQ305" s="13"/>
      <c r="AR305" s="64">
        <f t="shared" si="52"/>
        <v>1.1018518518518518E-2</v>
      </c>
      <c r="AS305" s="14">
        <f>AR305/$AQ$301</f>
        <v>1.2802495170947139E-2</v>
      </c>
    </row>
    <row r="306" spans="1:45" ht="23.25" customHeight="1" x14ac:dyDescent="0.25">
      <c r="A306" s="79"/>
      <c r="B306" s="2"/>
      <c r="C306" s="113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5"/>
      <c r="AQ306" s="78"/>
      <c r="AR306" s="7">
        <f>SUM(AR303:AR305)</f>
        <v>0.51101851851851854</v>
      </c>
      <c r="AS306" s="81">
        <f>SUM(AS303:AS305)</f>
        <v>0.59375605755006111</v>
      </c>
    </row>
    <row r="307" spans="1:45" ht="41.25" customHeight="1" x14ac:dyDescent="0.25"/>
    <row r="308" spans="1:45" ht="44.25" customHeight="1" x14ac:dyDescent="0.25"/>
    <row r="309" spans="1:45" ht="33.75" customHeight="1" x14ac:dyDescent="0.25">
      <c r="A309" s="126" t="s">
        <v>31</v>
      </c>
      <c r="B309" s="126" t="s">
        <v>32</v>
      </c>
      <c r="C309" s="127" t="s">
        <v>0</v>
      </c>
      <c r="D309" s="128" t="s">
        <v>1</v>
      </c>
      <c r="E309" s="128" t="s">
        <v>2</v>
      </c>
      <c r="F309" s="129" t="s">
        <v>3</v>
      </c>
      <c r="G309" s="116" t="s">
        <v>4</v>
      </c>
      <c r="H309" s="124" t="s">
        <v>5</v>
      </c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  <c r="AB309" s="116" t="s">
        <v>6</v>
      </c>
      <c r="AC309" s="116" t="s">
        <v>7</v>
      </c>
      <c r="AD309" s="124" t="s">
        <v>8</v>
      </c>
      <c r="AE309" s="124" t="s">
        <v>9</v>
      </c>
      <c r="AF309" s="124"/>
      <c r="AG309" s="124"/>
      <c r="AH309" s="124"/>
      <c r="AI309" s="124"/>
      <c r="AJ309" s="124"/>
      <c r="AK309" s="124"/>
      <c r="AL309" s="124"/>
      <c r="AM309" s="124"/>
      <c r="AN309" s="124" t="s">
        <v>30</v>
      </c>
      <c r="AO309" s="125" t="s">
        <v>10</v>
      </c>
      <c r="AP309" s="125"/>
      <c r="AQ309" s="116" t="s">
        <v>11</v>
      </c>
      <c r="AR309" s="116" t="s">
        <v>12</v>
      </c>
      <c r="AS309" s="116" t="s">
        <v>13</v>
      </c>
    </row>
    <row r="310" spans="1:45" ht="63.75" customHeight="1" x14ac:dyDescent="0.25">
      <c r="A310" s="126"/>
      <c r="B310" s="126"/>
      <c r="C310" s="127"/>
      <c r="D310" s="128"/>
      <c r="E310" s="128"/>
      <c r="F310" s="129"/>
      <c r="G310" s="116"/>
      <c r="H310" s="19" t="s">
        <v>326</v>
      </c>
      <c r="I310" s="19" t="s">
        <v>69</v>
      </c>
      <c r="J310" s="19" t="s">
        <v>327</v>
      </c>
      <c r="K310" s="19" t="s">
        <v>70</v>
      </c>
      <c r="L310" s="19" t="s">
        <v>328</v>
      </c>
      <c r="M310" s="19" t="s">
        <v>71</v>
      </c>
      <c r="N310" s="19" t="s">
        <v>329</v>
      </c>
      <c r="O310" s="19" t="s">
        <v>72</v>
      </c>
      <c r="P310" s="19" t="s">
        <v>73</v>
      </c>
      <c r="Q310" s="19" t="s">
        <v>330</v>
      </c>
      <c r="R310" s="19" t="s">
        <v>331</v>
      </c>
      <c r="S310" s="19" t="s">
        <v>121</v>
      </c>
      <c r="T310" s="19" t="s">
        <v>16</v>
      </c>
      <c r="U310" s="19" t="s">
        <v>332</v>
      </c>
      <c r="V310" s="19" t="s">
        <v>122</v>
      </c>
      <c r="W310" s="19" t="s">
        <v>333</v>
      </c>
      <c r="X310" s="19" t="s">
        <v>170</v>
      </c>
      <c r="Y310" s="19" t="s">
        <v>152</v>
      </c>
      <c r="Z310" s="19" t="s">
        <v>14</v>
      </c>
      <c r="AA310" s="19" t="s">
        <v>334</v>
      </c>
      <c r="AB310" s="116"/>
      <c r="AC310" s="116"/>
      <c r="AD310" s="124"/>
      <c r="AE310" s="19" t="s">
        <v>19</v>
      </c>
      <c r="AF310" s="19" t="s">
        <v>335</v>
      </c>
      <c r="AG310" s="19" t="s">
        <v>336</v>
      </c>
      <c r="AH310" s="19" t="s">
        <v>337</v>
      </c>
      <c r="AI310" s="19" t="s">
        <v>21</v>
      </c>
      <c r="AJ310" s="19" t="s">
        <v>338</v>
      </c>
      <c r="AK310" s="19" t="s">
        <v>192</v>
      </c>
      <c r="AL310" s="19" t="s">
        <v>193</v>
      </c>
      <c r="AM310" s="19" t="s">
        <v>339</v>
      </c>
      <c r="AN310" s="124"/>
      <c r="AO310" s="2" t="s">
        <v>24</v>
      </c>
      <c r="AP310" s="2" t="s">
        <v>23</v>
      </c>
      <c r="AQ310" s="116"/>
      <c r="AR310" s="116"/>
      <c r="AS310" s="116"/>
    </row>
    <row r="311" spans="1:45" ht="26.25" customHeight="1" x14ac:dyDescent="0.25">
      <c r="A311" s="117">
        <v>7</v>
      </c>
      <c r="B311" s="118">
        <v>7</v>
      </c>
      <c r="C311" s="119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1"/>
      <c r="AP311" s="121"/>
      <c r="AQ311" s="34">
        <v>9.4596473639540548</v>
      </c>
      <c r="AR311" s="5"/>
      <c r="AS311" s="6"/>
    </row>
    <row r="312" spans="1:45" ht="27.75" customHeight="1" x14ac:dyDescent="0.25">
      <c r="A312" s="117"/>
      <c r="B312" s="118"/>
      <c r="C312" s="122" t="s">
        <v>469</v>
      </c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7"/>
      <c r="AP312" s="18"/>
      <c r="AQ312" s="7"/>
      <c r="AR312" s="8"/>
      <c r="AS312" s="4"/>
    </row>
    <row r="313" spans="1:45" ht="36" customHeight="1" x14ac:dyDescent="0.25">
      <c r="A313" s="117"/>
      <c r="B313" s="118"/>
      <c r="C313" s="1">
        <v>1</v>
      </c>
      <c r="D313" s="70" t="s">
        <v>371</v>
      </c>
      <c r="E313" s="71"/>
      <c r="F313" s="72"/>
      <c r="G313" s="15"/>
      <c r="H313" s="16"/>
      <c r="I313" s="16">
        <v>0.5</v>
      </c>
      <c r="J313" s="16"/>
      <c r="K313" s="16"/>
      <c r="L313" s="73"/>
      <c r="M313" s="73"/>
      <c r="N313" s="73"/>
      <c r="O313" s="73"/>
      <c r="P313" s="73">
        <v>0.5</v>
      </c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4">
        <v>565</v>
      </c>
      <c r="AC313" s="75">
        <v>636</v>
      </c>
      <c r="AD313" s="74"/>
      <c r="AE313" s="75"/>
      <c r="AF313" s="5"/>
      <c r="AG313" s="8"/>
      <c r="AH313" s="8"/>
      <c r="AI313" s="8"/>
      <c r="AJ313" s="8"/>
      <c r="AK313" s="8"/>
      <c r="AL313" s="8"/>
      <c r="AM313" s="8"/>
      <c r="AN313" s="8"/>
      <c r="AO313" s="76">
        <v>-73.099239999999952</v>
      </c>
      <c r="AP313" s="77">
        <v>6.8011116670000433</v>
      </c>
      <c r="AQ313" s="13"/>
      <c r="AR313" s="64">
        <f t="shared" ref="AR313:AR319" si="54">$H313*0.1+$I313*0.1+$J313*0.1+$K313*0.1+$L313*0.1+$M313*0.1+$N313*0.1+$P313*0.1+$O313*0.1+$Q313*0.1+$R313*0.1+$S313*0.1+$T313*0.1+$U313*0.1+$V313*0.1+$W313*0.1+$X313*0.1+$Y313*0.1+$Z313*0.0001+$AA313*0.1+$AB313*(130/(3600*24))+$AC313*0.001+$AE313*0.0006+$AF313*0.002+$AG313*0.0006+$AH313*0.0002+$AI313*0.0002+$AJ313*0.000004+$AN313*0.0004</f>
        <v>1.5861157407407407</v>
      </c>
      <c r="AS313" s="14">
        <f>AR313/$AQ$311</f>
        <v>0.16767176192895181</v>
      </c>
    </row>
    <row r="314" spans="1:45" ht="36" customHeight="1" x14ac:dyDescent="0.25">
      <c r="A314" s="117"/>
      <c r="B314" s="118"/>
      <c r="C314" s="1">
        <v>2</v>
      </c>
      <c r="D314" s="70" t="s">
        <v>365</v>
      </c>
      <c r="E314" s="71"/>
      <c r="F314" s="72">
        <v>99</v>
      </c>
      <c r="G314" s="15"/>
      <c r="H314" s="16"/>
      <c r="I314" s="16"/>
      <c r="J314" s="16"/>
      <c r="K314" s="16"/>
      <c r="L314" s="73"/>
      <c r="M314" s="73"/>
      <c r="N314" s="73"/>
      <c r="O314" s="73"/>
      <c r="P314" s="73">
        <v>5</v>
      </c>
      <c r="Q314" s="73"/>
      <c r="R314" s="73"/>
      <c r="S314" s="73"/>
      <c r="T314" s="73"/>
      <c r="U314" s="73"/>
      <c r="V314" s="73"/>
      <c r="W314" s="73">
        <v>5</v>
      </c>
      <c r="X314" s="73"/>
      <c r="Y314" s="73"/>
      <c r="Z314" s="73"/>
      <c r="AA314" s="73"/>
      <c r="AB314" s="74">
        <v>4</v>
      </c>
      <c r="AC314" s="75">
        <v>5</v>
      </c>
      <c r="AD314" s="74"/>
      <c r="AE314" s="75"/>
      <c r="AF314" s="5"/>
      <c r="AG314" s="8"/>
      <c r="AH314" s="8"/>
      <c r="AI314" s="8"/>
      <c r="AJ314" s="8"/>
      <c r="AK314" s="8"/>
      <c r="AL314" s="8"/>
      <c r="AM314" s="8"/>
      <c r="AN314" s="8"/>
      <c r="AO314" s="76">
        <v>-73.113023999999996</v>
      </c>
      <c r="AP314" s="77">
        <v>7.1107610000000001</v>
      </c>
      <c r="AQ314" s="13"/>
      <c r="AR314" s="64">
        <f t="shared" si="54"/>
        <v>1.0110185185185183</v>
      </c>
      <c r="AS314" s="14">
        <f t="shared" ref="AS314:AS319" si="55">AR314/$AQ$311</f>
        <v>0.1068769775045738</v>
      </c>
    </row>
    <row r="315" spans="1:45" ht="36" customHeight="1" x14ac:dyDescent="0.25">
      <c r="A315" s="117"/>
      <c r="B315" s="118"/>
      <c r="C315" s="1">
        <v>3</v>
      </c>
      <c r="D315" s="70" t="s">
        <v>362</v>
      </c>
      <c r="E315" s="71"/>
      <c r="F315" s="72">
        <v>7.49</v>
      </c>
      <c r="G315" s="15"/>
      <c r="H315" s="16">
        <v>0.25</v>
      </c>
      <c r="I315" s="16"/>
      <c r="J315" s="16"/>
      <c r="K315" s="16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4">
        <v>3</v>
      </c>
      <c r="AC315" s="75">
        <v>4</v>
      </c>
      <c r="AD315" s="74"/>
      <c r="AE315" s="75"/>
      <c r="AF315" s="5"/>
      <c r="AG315" s="8"/>
      <c r="AH315" s="8"/>
      <c r="AI315" s="8"/>
      <c r="AJ315" s="8"/>
      <c r="AK315" s="8"/>
      <c r="AL315" s="8"/>
      <c r="AM315" s="8"/>
      <c r="AN315" s="8"/>
      <c r="AO315" s="76">
        <v>-73.098136999999994</v>
      </c>
      <c r="AP315" s="77">
        <v>6.8132270000000004</v>
      </c>
      <c r="AQ315" s="13"/>
      <c r="AR315" s="64">
        <f t="shared" si="54"/>
        <v>3.3513888888888885E-2</v>
      </c>
      <c r="AS315" s="14">
        <f t="shared" si="55"/>
        <v>3.5428264500211087E-3</v>
      </c>
    </row>
    <row r="316" spans="1:45" ht="36" customHeight="1" x14ac:dyDescent="0.25">
      <c r="A316" s="117"/>
      <c r="B316" s="118"/>
      <c r="C316" s="1">
        <v>4</v>
      </c>
      <c r="D316" s="70" t="s">
        <v>372</v>
      </c>
      <c r="E316" s="71"/>
      <c r="F316" s="72"/>
      <c r="G316" s="15"/>
      <c r="H316" s="16"/>
      <c r="I316" s="16"/>
      <c r="J316" s="16"/>
      <c r="K316" s="16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4">
        <v>2388</v>
      </c>
      <c r="AC316" s="75"/>
      <c r="AD316" s="74"/>
      <c r="AE316" s="75"/>
      <c r="AF316" s="5"/>
      <c r="AG316" s="8"/>
      <c r="AH316" s="8"/>
      <c r="AI316" s="8"/>
      <c r="AJ316" s="8"/>
      <c r="AK316" s="8"/>
      <c r="AL316" s="8"/>
      <c r="AM316" s="8"/>
      <c r="AN316" s="8"/>
      <c r="AO316" s="76">
        <v>-73.090034999999943</v>
      </c>
      <c r="AP316" s="77">
        <v>6.7957150000000297</v>
      </c>
      <c r="AQ316" s="13"/>
      <c r="AR316" s="64">
        <f t="shared" si="54"/>
        <v>3.5930555555555554</v>
      </c>
      <c r="AS316" s="14">
        <f t="shared" si="55"/>
        <v>0.3798297565770663</v>
      </c>
    </row>
    <row r="317" spans="1:45" ht="36" customHeight="1" x14ac:dyDescent="0.25">
      <c r="A317" s="117"/>
      <c r="B317" s="118"/>
      <c r="C317" s="1">
        <v>5</v>
      </c>
      <c r="D317" s="70" t="s">
        <v>373</v>
      </c>
      <c r="E317" s="71"/>
      <c r="F317" s="72">
        <v>3</v>
      </c>
      <c r="G317" s="15"/>
      <c r="H317" s="16"/>
      <c r="I317" s="16">
        <v>1</v>
      </c>
      <c r="J317" s="16"/>
      <c r="K317" s="16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4">
        <v>2</v>
      </c>
      <c r="AC317" s="75">
        <v>4</v>
      </c>
      <c r="AD317" s="74"/>
      <c r="AE317" s="75"/>
      <c r="AF317" s="5"/>
      <c r="AG317" s="8"/>
      <c r="AH317" s="8"/>
      <c r="AI317" s="8"/>
      <c r="AJ317" s="8"/>
      <c r="AK317" s="8"/>
      <c r="AL317" s="8"/>
      <c r="AM317" s="8"/>
      <c r="AN317" s="8"/>
      <c r="AO317" s="76">
        <v>-73.117077376999987</v>
      </c>
      <c r="AP317" s="77">
        <v>7.1211651910000464</v>
      </c>
      <c r="AQ317" s="13"/>
      <c r="AR317" s="64">
        <f t="shared" si="54"/>
        <v>0.10700925925925926</v>
      </c>
      <c r="AS317" s="14">
        <f t="shared" si="55"/>
        <v>1.1312182700067402E-2</v>
      </c>
    </row>
    <row r="318" spans="1:45" ht="36" customHeight="1" x14ac:dyDescent="0.25">
      <c r="A318" s="117"/>
      <c r="B318" s="118"/>
      <c r="C318" s="1">
        <v>6</v>
      </c>
      <c r="D318" s="70" t="s">
        <v>374</v>
      </c>
      <c r="E318" s="71"/>
      <c r="F318" s="72">
        <v>1.5</v>
      </c>
      <c r="G318" s="15"/>
      <c r="H318" s="16"/>
      <c r="I318" s="16"/>
      <c r="J318" s="16"/>
      <c r="K318" s="16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4">
        <v>6</v>
      </c>
      <c r="AC318" s="75">
        <v>28</v>
      </c>
      <c r="AD318" s="74"/>
      <c r="AE318" s="75"/>
      <c r="AF318" s="5"/>
      <c r="AG318" s="8"/>
      <c r="AH318" s="8"/>
      <c r="AI318" s="8"/>
      <c r="AJ318" s="8"/>
      <c r="AK318" s="8"/>
      <c r="AL318" s="8"/>
      <c r="AM318" s="8"/>
      <c r="AN318" s="8"/>
      <c r="AO318" s="76">
        <v>-73.099323571999946</v>
      </c>
      <c r="AP318" s="77">
        <v>6.8005911680000386</v>
      </c>
      <c r="AQ318" s="13"/>
      <c r="AR318" s="64">
        <f t="shared" si="54"/>
        <v>3.7027777777777778E-2</v>
      </c>
      <c r="AS318" s="14">
        <f t="shared" si="55"/>
        <v>3.9142873252201726E-3</v>
      </c>
    </row>
    <row r="319" spans="1:45" ht="36" customHeight="1" x14ac:dyDescent="0.25">
      <c r="A319" s="117"/>
      <c r="B319" s="118"/>
      <c r="C319" s="1">
        <v>7</v>
      </c>
      <c r="D319" s="70" t="s">
        <v>375</v>
      </c>
      <c r="E319" s="71"/>
      <c r="F319" s="72">
        <v>6.8</v>
      </c>
      <c r="G319" s="15"/>
      <c r="H319" s="16"/>
      <c r="I319" s="16"/>
      <c r="J319" s="16"/>
      <c r="K319" s="16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4">
        <v>20</v>
      </c>
      <c r="AC319" s="75">
        <v>10</v>
      </c>
      <c r="AD319" s="74"/>
      <c r="AE319" s="75"/>
      <c r="AF319" s="5"/>
      <c r="AG319" s="8"/>
      <c r="AH319" s="8"/>
      <c r="AI319" s="8"/>
      <c r="AJ319" s="8"/>
      <c r="AK319" s="8"/>
      <c r="AL319" s="8"/>
      <c r="AM319" s="8"/>
      <c r="AN319" s="8"/>
      <c r="AO319" s="76">
        <v>-73.099316666999982</v>
      </c>
      <c r="AP319" s="77">
        <v>6.8082616670000684</v>
      </c>
      <c r="AQ319" s="13"/>
      <c r="AR319" s="64">
        <f t="shared" si="54"/>
        <v>4.0092592592592596E-2</v>
      </c>
      <c r="AS319" s="14">
        <f t="shared" si="55"/>
        <v>4.2382755984504503E-3</v>
      </c>
    </row>
    <row r="320" spans="1:45" ht="23.25" customHeight="1" x14ac:dyDescent="0.25">
      <c r="A320" s="79"/>
      <c r="B320" s="2"/>
      <c r="C320" s="113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5"/>
      <c r="AQ320" s="78"/>
      <c r="AR320" s="7">
        <f>SUM(AR313:AR319)</f>
        <v>6.4078333333333326</v>
      </c>
      <c r="AS320" s="51">
        <f>SUM(AS313:AS319)</f>
        <v>0.67738606808435109</v>
      </c>
    </row>
    <row r="321" spans="1:45" ht="42" customHeight="1" x14ac:dyDescent="0.25"/>
    <row r="322" spans="1:45" ht="42" customHeight="1" x14ac:dyDescent="0.25"/>
    <row r="323" spans="1:45" ht="46.5" customHeight="1" x14ac:dyDescent="0.25"/>
    <row r="324" spans="1:45" ht="33.75" customHeight="1" x14ac:dyDescent="0.25">
      <c r="A324" s="126" t="s">
        <v>31</v>
      </c>
      <c r="B324" s="126" t="s">
        <v>32</v>
      </c>
      <c r="C324" s="127" t="s">
        <v>0</v>
      </c>
      <c r="D324" s="128" t="s">
        <v>1</v>
      </c>
      <c r="E324" s="128" t="s">
        <v>2</v>
      </c>
      <c r="F324" s="129" t="s">
        <v>3</v>
      </c>
      <c r="G324" s="116" t="s">
        <v>4</v>
      </c>
      <c r="H324" s="124" t="s">
        <v>5</v>
      </c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  <c r="AA324" s="124"/>
      <c r="AB324" s="116" t="s">
        <v>6</v>
      </c>
      <c r="AC324" s="116" t="s">
        <v>7</v>
      </c>
      <c r="AD324" s="124" t="s">
        <v>8</v>
      </c>
      <c r="AE324" s="124" t="s">
        <v>9</v>
      </c>
      <c r="AF324" s="124"/>
      <c r="AG324" s="124"/>
      <c r="AH324" s="124"/>
      <c r="AI324" s="124"/>
      <c r="AJ324" s="124"/>
      <c r="AK324" s="124"/>
      <c r="AL324" s="124"/>
      <c r="AM324" s="124"/>
      <c r="AN324" s="124" t="s">
        <v>30</v>
      </c>
      <c r="AO324" s="125" t="s">
        <v>10</v>
      </c>
      <c r="AP324" s="125"/>
      <c r="AQ324" s="116" t="s">
        <v>11</v>
      </c>
      <c r="AR324" s="116" t="s">
        <v>12</v>
      </c>
      <c r="AS324" s="116" t="s">
        <v>13</v>
      </c>
    </row>
    <row r="325" spans="1:45" ht="63.75" customHeight="1" x14ac:dyDescent="0.25">
      <c r="A325" s="126"/>
      <c r="B325" s="126"/>
      <c r="C325" s="127"/>
      <c r="D325" s="128"/>
      <c r="E325" s="128"/>
      <c r="F325" s="129"/>
      <c r="G325" s="116"/>
      <c r="H325" s="19" t="s">
        <v>326</v>
      </c>
      <c r="I325" s="19" t="s">
        <v>69</v>
      </c>
      <c r="J325" s="19" t="s">
        <v>327</v>
      </c>
      <c r="K325" s="19" t="s">
        <v>70</v>
      </c>
      <c r="L325" s="19" t="s">
        <v>328</v>
      </c>
      <c r="M325" s="19" t="s">
        <v>71</v>
      </c>
      <c r="N325" s="19" t="s">
        <v>329</v>
      </c>
      <c r="O325" s="19" t="s">
        <v>72</v>
      </c>
      <c r="P325" s="19" t="s">
        <v>73</v>
      </c>
      <c r="Q325" s="19" t="s">
        <v>330</v>
      </c>
      <c r="R325" s="19" t="s">
        <v>331</v>
      </c>
      <c r="S325" s="19" t="s">
        <v>121</v>
      </c>
      <c r="T325" s="19" t="s">
        <v>16</v>
      </c>
      <c r="U325" s="19" t="s">
        <v>332</v>
      </c>
      <c r="V325" s="19" t="s">
        <v>122</v>
      </c>
      <c r="W325" s="19" t="s">
        <v>333</v>
      </c>
      <c r="X325" s="19" t="s">
        <v>170</v>
      </c>
      <c r="Y325" s="19" t="s">
        <v>152</v>
      </c>
      <c r="Z325" s="19" t="s">
        <v>14</v>
      </c>
      <c r="AA325" s="19" t="s">
        <v>334</v>
      </c>
      <c r="AB325" s="116"/>
      <c r="AC325" s="116"/>
      <c r="AD325" s="124"/>
      <c r="AE325" s="19" t="s">
        <v>19</v>
      </c>
      <c r="AF325" s="19" t="s">
        <v>335</v>
      </c>
      <c r="AG325" s="19" t="s">
        <v>336</v>
      </c>
      <c r="AH325" s="19" t="s">
        <v>337</v>
      </c>
      <c r="AI325" s="19" t="s">
        <v>21</v>
      </c>
      <c r="AJ325" s="19" t="s">
        <v>338</v>
      </c>
      <c r="AK325" s="19" t="s">
        <v>192</v>
      </c>
      <c r="AL325" s="19" t="s">
        <v>193</v>
      </c>
      <c r="AM325" s="19" t="s">
        <v>339</v>
      </c>
      <c r="AN325" s="124"/>
      <c r="AO325" s="2" t="s">
        <v>24</v>
      </c>
      <c r="AP325" s="2" t="s">
        <v>23</v>
      </c>
      <c r="AQ325" s="116"/>
      <c r="AR325" s="116"/>
      <c r="AS325" s="116"/>
    </row>
    <row r="326" spans="1:45" ht="26.25" customHeight="1" x14ac:dyDescent="0.25">
      <c r="A326" s="117">
        <v>1</v>
      </c>
      <c r="B326" s="118">
        <v>1</v>
      </c>
      <c r="C326" s="130" t="s">
        <v>488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  <c r="AB326" s="131"/>
      <c r="AC326" s="131"/>
      <c r="AD326" s="131"/>
      <c r="AE326" s="131"/>
      <c r="AF326" s="131"/>
      <c r="AG326" s="131"/>
      <c r="AH326" s="131"/>
      <c r="AI326" s="131"/>
      <c r="AJ326" s="131"/>
      <c r="AK326" s="131"/>
      <c r="AL326" s="131"/>
      <c r="AM326" s="131"/>
      <c r="AN326" s="131"/>
      <c r="AO326" s="132"/>
      <c r="AP326" s="132"/>
      <c r="AQ326" s="34">
        <v>0.74775743740214529</v>
      </c>
      <c r="AR326" s="5"/>
      <c r="AS326" s="6"/>
    </row>
    <row r="327" spans="1:45" ht="27.75" customHeight="1" x14ac:dyDescent="0.25">
      <c r="A327" s="117"/>
      <c r="B327" s="118"/>
      <c r="C327" s="122" t="s">
        <v>470</v>
      </c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7"/>
      <c r="AP327" s="18"/>
      <c r="AQ327" s="7"/>
      <c r="AR327" s="8"/>
      <c r="AS327" s="4"/>
    </row>
    <row r="328" spans="1:45" ht="36" customHeight="1" x14ac:dyDescent="0.25">
      <c r="A328" s="117"/>
      <c r="B328" s="118"/>
      <c r="C328" s="1">
        <v>1</v>
      </c>
      <c r="D328" s="70" t="s">
        <v>376</v>
      </c>
      <c r="E328" s="71"/>
      <c r="F328" s="72">
        <v>1.4</v>
      </c>
      <c r="G328" s="15"/>
      <c r="H328" s="16"/>
      <c r="I328" s="16">
        <v>0.2</v>
      </c>
      <c r="J328" s="16"/>
      <c r="K328" s="16"/>
      <c r="L328" s="73"/>
      <c r="M328" s="73"/>
      <c r="N328" s="73"/>
      <c r="O328" s="73">
        <v>1</v>
      </c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4">
        <v>4</v>
      </c>
      <c r="AC328" s="75"/>
      <c r="AD328" s="74"/>
      <c r="AE328" s="75"/>
      <c r="AF328" s="5"/>
      <c r="AG328" s="8"/>
      <c r="AH328" s="8"/>
      <c r="AI328" s="8"/>
      <c r="AJ328" s="8"/>
      <c r="AK328" s="8"/>
      <c r="AL328" s="8"/>
      <c r="AM328" s="8"/>
      <c r="AN328" s="8"/>
      <c r="AO328" s="76">
        <v>-73.076205000000002</v>
      </c>
      <c r="AP328" s="77">
        <v>6.7798829999999999</v>
      </c>
      <c r="AQ328" s="13"/>
      <c r="AR328" s="64">
        <f t="shared" ref="AR328" si="56">$H328*0.1+$I328*0.1+$J328*0.1+$K328*0.1+$L328*0.1+$M328*0.1+$N328*0.1+$P328*0.1+$O328*0.1+$Q328*0.1+$R328*0.1+$S328*0.1+$T328*0.1+$U328*0.1+$V328*0.1+$W328*0.1+$X328*0.1+$Y328*0.1+$Z328*0.0001+$AA328*0.1+$AB328*(130/(3600*24))+$AC328*0.001+$AE328*0.0006+$AF328*0.002+$AG328*0.0006+$AH328*0.0002+$AI328*0.0002+$AJ328*0.000004+$AN328*0.0004</f>
        <v>0.12601851851851853</v>
      </c>
      <c r="AS328" s="14">
        <f>AR328/$AQ$326</f>
        <v>0.16852860595587169</v>
      </c>
    </row>
    <row r="329" spans="1:45" ht="23.25" customHeight="1" x14ac:dyDescent="0.25">
      <c r="A329" s="79"/>
      <c r="B329" s="2"/>
      <c r="C329" s="113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5"/>
      <c r="AQ329" s="78"/>
      <c r="AR329" s="7">
        <f>AR328</f>
        <v>0.12601851851851853</v>
      </c>
      <c r="AS329" s="81">
        <f>AS328</f>
        <v>0.16852860595587169</v>
      </c>
    </row>
    <row r="330" spans="1:45" ht="44.25" customHeight="1" x14ac:dyDescent="0.25"/>
    <row r="331" spans="1:45" ht="47.25" customHeight="1" x14ac:dyDescent="0.25"/>
    <row r="332" spans="1:45" ht="33.75" customHeight="1" x14ac:dyDescent="0.25">
      <c r="A332" s="126" t="s">
        <v>31</v>
      </c>
      <c r="B332" s="126" t="s">
        <v>32</v>
      </c>
      <c r="C332" s="127" t="s">
        <v>0</v>
      </c>
      <c r="D332" s="128" t="s">
        <v>1</v>
      </c>
      <c r="E332" s="128" t="s">
        <v>2</v>
      </c>
      <c r="F332" s="129" t="s">
        <v>3</v>
      </c>
      <c r="G332" s="116" t="s">
        <v>4</v>
      </c>
      <c r="H332" s="124" t="s">
        <v>5</v>
      </c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  <c r="AB332" s="116" t="s">
        <v>6</v>
      </c>
      <c r="AC332" s="116" t="s">
        <v>7</v>
      </c>
      <c r="AD332" s="124" t="s">
        <v>8</v>
      </c>
      <c r="AE332" s="124" t="s">
        <v>9</v>
      </c>
      <c r="AF332" s="124"/>
      <c r="AG332" s="124"/>
      <c r="AH332" s="124"/>
      <c r="AI332" s="124"/>
      <c r="AJ332" s="124"/>
      <c r="AK332" s="124"/>
      <c r="AL332" s="124"/>
      <c r="AM332" s="124"/>
      <c r="AN332" s="124" t="s">
        <v>30</v>
      </c>
      <c r="AO332" s="125" t="s">
        <v>10</v>
      </c>
      <c r="AP332" s="125"/>
      <c r="AQ332" s="116" t="s">
        <v>11</v>
      </c>
      <c r="AR332" s="116" t="s">
        <v>12</v>
      </c>
      <c r="AS332" s="116" t="s">
        <v>13</v>
      </c>
    </row>
    <row r="333" spans="1:45" ht="63.75" customHeight="1" x14ac:dyDescent="0.25">
      <c r="A333" s="126"/>
      <c r="B333" s="126"/>
      <c r="C333" s="127"/>
      <c r="D333" s="128"/>
      <c r="E333" s="128"/>
      <c r="F333" s="129"/>
      <c r="G333" s="116"/>
      <c r="H333" s="19" t="s">
        <v>326</v>
      </c>
      <c r="I333" s="19" t="s">
        <v>69</v>
      </c>
      <c r="J333" s="19" t="s">
        <v>327</v>
      </c>
      <c r="K333" s="19" t="s">
        <v>70</v>
      </c>
      <c r="L333" s="19" t="s">
        <v>328</v>
      </c>
      <c r="M333" s="19" t="s">
        <v>71</v>
      </c>
      <c r="N333" s="19" t="s">
        <v>329</v>
      </c>
      <c r="O333" s="19" t="s">
        <v>72</v>
      </c>
      <c r="P333" s="19" t="s">
        <v>73</v>
      </c>
      <c r="Q333" s="19" t="s">
        <v>330</v>
      </c>
      <c r="R333" s="19" t="s">
        <v>331</v>
      </c>
      <c r="S333" s="19" t="s">
        <v>121</v>
      </c>
      <c r="T333" s="19" t="s">
        <v>16</v>
      </c>
      <c r="U333" s="19" t="s">
        <v>332</v>
      </c>
      <c r="V333" s="19" t="s">
        <v>122</v>
      </c>
      <c r="W333" s="19" t="s">
        <v>333</v>
      </c>
      <c r="X333" s="19" t="s">
        <v>170</v>
      </c>
      <c r="Y333" s="19" t="s">
        <v>152</v>
      </c>
      <c r="Z333" s="19" t="s">
        <v>14</v>
      </c>
      <c r="AA333" s="19" t="s">
        <v>334</v>
      </c>
      <c r="AB333" s="116"/>
      <c r="AC333" s="116"/>
      <c r="AD333" s="124"/>
      <c r="AE333" s="19" t="s">
        <v>19</v>
      </c>
      <c r="AF333" s="19" t="s">
        <v>335</v>
      </c>
      <c r="AG333" s="19" t="s">
        <v>336</v>
      </c>
      <c r="AH333" s="19" t="s">
        <v>337</v>
      </c>
      <c r="AI333" s="19" t="s">
        <v>21</v>
      </c>
      <c r="AJ333" s="19" t="s">
        <v>338</v>
      </c>
      <c r="AK333" s="19" t="s">
        <v>192</v>
      </c>
      <c r="AL333" s="19" t="s">
        <v>193</v>
      </c>
      <c r="AM333" s="19" t="s">
        <v>339</v>
      </c>
      <c r="AN333" s="124"/>
      <c r="AO333" s="2" t="s">
        <v>24</v>
      </c>
      <c r="AP333" s="2" t="s">
        <v>23</v>
      </c>
      <c r="AQ333" s="116"/>
      <c r="AR333" s="116"/>
      <c r="AS333" s="116"/>
    </row>
    <row r="334" spans="1:45" ht="26.25" customHeight="1" x14ac:dyDescent="0.25">
      <c r="A334" s="117">
        <v>2</v>
      </c>
      <c r="B334" s="118">
        <v>2</v>
      </c>
      <c r="C334" s="119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1"/>
      <c r="AP334" s="121"/>
      <c r="AQ334" s="34">
        <v>0.79690500658057861</v>
      </c>
      <c r="AR334" s="5"/>
      <c r="AS334" s="6"/>
    </row>
    <row r="335" spans="1:45" ht="27.75" customHeight="1" x14ac:dyDescent="0.25">
      <c r="A335" s="117"/>
      <c r="B335" s="118"/>
      <c r="C335" s="122" t="s">
        <v>471</v>
      </c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7"/>
      <c r="AP335" s="18"/>
      <c r="AQ335" s="7"/>
      <c r="AR335" s="8"/>
      <c r="AS335" s="4"/>
    </row>
    <row r="336" spans="1:45" ht="36" customHeight="1" x14ac:dyDescent="0.25">
      <c r="A336" s="117"/>
      <c r="B336" s="118"/>
      <c r="C336" s="1">
        <v>1</v>
      </c>
      <c r="D336" s="70" t="s">
        <v>377</v>
      </c>
      <c r="E336" s="71"/>
      <c r="F336" s="72">
        <v>3</v>
      </c>
      <c r="G336" s="15"/>
      <c r="H336" s="16"/>
      <c r="I336" s="16"/>
      <c r="J336" s="16"/>
      <c r="K336" s="16"/>
      <c r="L336" s="73"/>
      <c r="M336" s="73"/>
      <c r="N336" s="73"/>
      <c r="O336" s="73"/>
      <c r="P336" s="73"/>
      <c r="Q336" s="73"/>
      <c r="R336" s="73"/>
      <c r="S336" s="73"/>
      <c r="T336" s="73">
        <v>1</v>
      </c>
      <c r="U336" s="73"/>
      <c r="V336" s="73"/>
      <c r="W336" s="73"/>
      <c r="X336" s="73"/>
      <c r="Y336" s="73"/>
      <c r="Z336" s="73"/>
      <c r="AA336" s="73"/>
      <c r="AB336" s="74">
        <v>4</v>
      </c>
      <c r="AC336" s="75">
        <v>2</v>
      </c>
      <c r="AD336" s="74"/>
      <c r="AE336" s="75"/>
      <c r="AF336" s="5"/>
      <c r="AG336" s="8"/>
      <c r="AH336" s="8"/>
      <c r="AI336" s="8"/>
      <c r="AJ336" s="8"/>
      <c r="AK336" s="8"/>
      <c r="AL336" s="8"/>
      <c r="AM336" s="8"/>
      <c r="AN336" s="8"/>
      <c r="AO336" s="76">
        <v>-73.071491455999933</v>
      </c>
      <c r="AP336" s="77">
        <v>6.7843576210000256</v>
      </c>
      <c r="AQ336" s="13"/>
      <c r="AR336" s="64">
        <f t="shared" ref="AR336" si="57">$H336*0.1+$I336*0.1+$J336*0.1+$K336*0.1+$L336*0.1+$M336*0.1+$N336*0.1+$P336*0.1+$O336*0.1+$Q336*0.1+$R336*0.1+$S336*0.1+$T336*0.1+$U336*0.1+$V336*0.1+$W336*0.1+$X336*0.1+$Y336*0.1+$Z336*0.0001+$AA336*0.1+$AB336*(130/(3600*24))+$AC336*0.001+$AE336*0.0006+$AF336*0.002+$AG336*0.0006+$AH336*0.0002+$AI336*0.0002+$AJ336*0.000004+$AN336*0.0004</f>
        <v>0.10801851851851853</v>
      </c>
      <c r="AS336" s="14">
        <f>AR336/AQ334</f>
        <v>0.13554754660409615</v>
      </c>
    </row>
    <row r="337" spans="1:45" ht="23.25" customHeight="1" x14ac:dyDescent="0.25">
      <c r="A337" s="79"/>
      <c r="B337" s="2"/>
      <c r="C337" s="113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5"/>
      <c r="AQ337" s="78"/>
      <c r="AR337" s="7">
        <f>AR336</f>
        <v>0.10801851851851853</v>
      </c>
      <c r="AS337" s="81">
        <f>AS336</f>
        <v>0.13554754660409615</v>
      </c>
    </row>
    <row r="338" spans="1:45" ht="34.5" customHeight="1" x14ac:dyDescent="0.25"/>
    <row r="339" spans="1:45" ht="42.75" customHeight="1" x14ac:dyDescent="0.25"/>
    <row r="340" spans="1:45" ht="33.75" customHeight="1" x14ac:dyDescent="0.25">
      <c r="A340" s="126" t="s">
        <v>31</v>
      </c>
      <c r="B340" s="126" t="s">
        <v>32</v>
      </c>
      <c r="C340" s="127" t="s">
        <v>0</v>
      </c>
      <c r="D340" s="128" t="s">
        <v>1</v>
      </c>
      <c r="E340" s="128" t="s">
        <v>2</v>
      </c>
      <c r="F340" s="129" t="s">
        <v>3</v>
      </c>
      <c r="G340" s="116" t="s">
        <v>4</v>
      </c>
      <c r="H340" s="124" t="s">
        <v>5</v>
      </c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  <c r="AA340" s="124"/>
      <c r="AB340" s="116" t="s">
        <v>6</v>
      </c>
      <c r="AC340" s="116" t="s">
        <v>7</v>
      </c>
      <c r="AD340" s="124" t="s">
        <v>8</v>
      </c>
      <c r="AE340" s="124" t="s">
        <v>9</v>
      </c>
      <c r="AF340" s="124"/>
      <c r="AG340" s="124"/>
      <c r="AH340" s="124"/>
      <c r="AI340" s="124"/>
      <c r="AJ340" s="124"/>
      <c r="AK340" s="124"/>
      <c r="AL340" s="124"/>
      <c r="AM340" s="124"/>
      <c r="AN340" s="124" t="s">
        <v>30</v>
      </c>
      <c r="AO340" s="125" t="s">
        <v>10</v>
      </c>
      <c r="AP340" s="125"/>
      <c r="AQ340" s="116" t="s">
        <v>11</v>
      </c>
      <c r="AR340" s="116" t="s">
        <v>12</v>
      </c>
      <c r="AS340" s="116" t="s">
        <v>13</v>
      </c>
    </row>
    <row r="341" spans="1:45" ht="63.75" customHeight="1" x14ac:dyDescent="0.25">
      <c r="A341" s="126"/>
      <c r="B341" s="126"/>
      <c r="C341" s="127"/>
      <c r="D341" s="128"/>
      <c r="E341" s="128"/>
      <c r="F341" s="129"/>
      <c r="G341" s="116"/>
      <c r="H341" s="19" t="s">
        <v>326</v>
      </c>
      <c r="I341" s="19" t="s">
        <v>69</v>
      </c>
      <c r="J341" s="19" t="s">
        <v>327</v>
      </c>
      <c r="K341" s="19" t="s">
        <v>70</v>
      </c>
      <c r="L341" s="19" t="s">
        <v>328</v>
      </c>
      <c r="M341" s="19" t="s">
        <v>71</v>
      </c>
      <c r="N341" s="19" t="s">
        <v>329</v>
      </c>
      <c r="O341" s="19" t="s">
        <v>72</v>
      </c>
      <c r="P341" s="19" t="s">
        <v>73</v>
      </c>
      <c r="Q341" s="19" t="s">
        <v>330</v>
      </c>
      <c r="R341" s="19" t="s">
        <v>331</v>
      </c>
      <c r="S341" s="19" t="s">
        <v>121</v>
      </c>
      <c r="T341" s="19" t="s">
        <v>16</v>
      </c>
      <c r="U341" s="19" t="s">
        <v>332</v>
      </c>
      <c r="V341" s="19" t="s">
        <v>122</v>
      </c>
      <c r="W341" s="19" t="s">
        <v>333</v>
      </c>
      <c r="X341" s="19" t="s">
        <v>170</v>
      </c>
      <c r="Y341" s="19" t="s">
        <v>152</v>
      </c>
      <c r="Z341" s="19" t="s">
        <v>14</v>
      </c>
      <c r="AA341" s="19" t="s">
        <v>334</v>
      </c>
      <c r="AB341" s="116"/>
      <c r="AC341" s="116"/>
      <c r="AD341" s="124"/>
      <c r="AE341" s="19" t="s">
        <v>19</v>
      </c>
      <c r="AF341" s="19" t="s">
        <v>335</v>
      </c>
      <c r="AG341" s="19" t="s">
        <v>336</v>
      </c>
      <c r="AH341" s="19" t="s">
        <v>337</v>
      </c>
      <c r="AI341" s="19" t="s">
        <v>21</v>
      </c>
      <c r="AJ341" s="19" t="s">
        <v>338</v>
      </c>
      <c r="AK341" s="19" t="s">
        <v>192</v>
      </c>
      <c r="AL341" s="19" t="s">
        <v>193</v>
      </c>
      <c r="AM341" s="19" t="s">
        <v>339</v>
      </c>
      <c r="AN341" s="124"/>
      <c r="AO341" s="2" t="s">
        <v>24</v>
      </c>
      <c r="AP341" s="2" t="s">
        <v>23</v>
      </c>
      <c r="AQ341" s="116"/>
      <c r="AR341" s="116"/>
      <c r="AS341" s="116"/>
    </row>
    <row r="342" spans="1:45" ht="26.25" customHeight="1" x14ac:dyDescent="0.25">
      <c r="A342" s="117">
        <v>3</v>
      </c>
      <c r="B342" s="118">
        <v>3</v>
      </c>
      <c r="C342" s="119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1"/>
      <c r="AP342" s="121"/>
      <c r="AQ342" s="34">
        <v>4.3710690084911148</v>
      </c>
      <c r="AR342" s="5"/>
      <c r="AS342" s="6"/>
    </row>
    <row r="343" spans="1:45" ht="27.75" customHeight="1" x14ac:dyDescent="0.25">
      <c r="A343" s="117"/>
      <c r="B343" s="118"/>
      <c r="C343" s="122" t="s">
        <v>472</v>
      </c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7"/>
      <c r="AP343" s="18"/>
      <c r="AQ343" s="7"/>
      <c r="AR343" s="8"/>
      <c r="AS343" s="4"/>
    </row>
    <row r="344" spans="1:45" ht="36" customHeight="1" x14ac:dyDescent="0.25">
      <c r="A344" s="117"/>
      <c r="B344" s="118"/>
      <c r="C344" s="1">
        <v>1</v>
      </c>
      <c r="D344" s="70" t="s">
        <v>378</v>
      </c>
      <c r="E344" s="71"/>
      <c r="F344" s="72">
        <v>6.9</v>
      </c>
      <c r="G344" s="15"/>
      <c r="H344" s="16"/>
      <c r="I344" s="16">
        <v>0.1</v>
      </c>
      <c r="J344" s="16"/>
      <c r="K344" s="16"/>
      <c r="L344" s="73"/>
      <c r="M344" s="73"/>
      <c r="N344" s="73"/>
      <c r="O344" s="73">
        <v>0.1</v>
      </c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>
        <v>0.1</v>
      </c>
      <c r="AA344" s="73"/>
      <c r="AB344" s="74">
        <v>2</v>
      </c>
      <c r="AC344" s="75">
        <v>6</v>
      </c>
      <c r="AD344" s="74"/>
      <c r="AE344" s="75"/>
      <c r="AF344" s="5"/>
      <c r="AG344" s="8"/>
      <c r="AH344" s="8"/>
      <c r="AI344" s="8"/>
      <c r="AJ344" s="8"/>
      <c r="AK344" s="8"/>
      <c r="AL344" s="8"/>
      <c r="AM344" s="8"/>
      <c r="AN344" s="8"/>
      <c r="AO344" s="76">
        <v>-73.077489858999968</v>
      </c>
      <c r="AP344" s="77">
        <v>6.7886987360000717</v>
      </c>
      <c r="AQ344" s="13"/>
      <c r="AR344" s="64">
        <f t="shared" ref="AR344:AR346" si="58">$H344*0.1+$I344*0.1+$J344*0.1+$K344*0.1+$L344*0.1+$M344*0.1+$N344*0.1+$P344*0.1+$O344*0.1+$Q344*0.1+$R344*0.1+$S344*0.1+$T344*0.1+$U344*0.1+$V344*0.1+$W344*0.1+$X344*0.1+$Y344*0.1+$Z344*0.0001+$AA344*0.1+$AB344*(130/(3600*24))+$AC344*0.001+$AE344*0.0006+$AF344*0.002+$AG344*0.0006+$AH344*0.0002+$AI344*0.0002+$AJ344*0.000004+$AN344*0.0004</f>
        <v>2.9019259259259265E-2</v>
      </c>
      <c r="AS344" s="14">
        <f>AR344/$AQ$342</f>
        <v>6.6389387133644591E-3</v>
      </c>
    </row>
    <row r="345" spans="1:45" ht="36" customHeight="1" x14ac:dyDescent="0.25">
      <c r="A345" s="117"/>
      <c r="B345" s="118"/>
      <c r="C345" s="1">
        <v>2</v>
      </c>
      <c r="D345" s="70" t="s">
        <v>379</v>
      </c>
      <c r="E345" s="71"/>
      <c r="F345" s="72">
        <v>1</v>
      </c>
      <c r="G345" s="15"/>
      <c r="H345" s="16"/>
      <c r="I345" s="16"/>
      <c r="J345" s="16"/>
      <c r="K345" s="16"/>
      <c r="L345" s="73"/>
      <c r="M345" s="73">
        <v>0.25</v>
      </c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4">
        <v>2</v>
      </c>
      <c r="AC345" s="75">
        <v>4</v>
      </c>
      <c r="AD345" s="74"/>
      <c r="AE345" s="75"/>
      <c r="AF345" s="5"/>
      <c r="AG345" s="8"/>
      <c r="AH345" s="8"/>
      <c r="AI345" s="8"/>
      <c r="AJ345" s="8"/>
      <c r="AK345" s="8"/>
      <c r="AL345" s="8"/>
      <c r="AM345" s="8"/>
      <c r="AN345" s="8"/>
      <c r="AO345" s="76">
        <v>-73.077022188999933</v>
      </c>
      <c r="AP345" s="77">
        <v>6.7891804020000563</v>
      </c>
      <c r="AQ345" s="13"/>
      <c r="AR345" s="64">
        <f t="shared" si="58"/>
        <v>3.2009259259259265E-2</v>
      </c>
      <c r="AS345" s="14">
        <f t="shared" ref="AS345:AS346" si="59">AR345/$AQ$342</f>
        <v>7.3229819060460916E-3</v>
      </c>
    </row>
    <row r="346" spans="1:45" ht="36" customHeight="1" x14ac:dyDescent="0.25">
      <c r="A346" s="117"/>
      <c r="B346" s="118"/>
      <c r="C346" s="1">
        <v>3</v>
      </c>
      <c r="D346" s="70" t="s">
        <v>380</v>
      </c>
      <c r="E346" s="71"/>
      <c r="F346" s="72">
        <v>1</v>
      </c>
      <c r="G346" s="15"/>
      <c r="H346" s="16"/>
      <c r="I346" s="16"/>
      <c r="J346" s="16"/>
      <c r="K346" s="16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4"/>
      <c r="AC346" s="75"/>
      <c r="AD346" s="74"/>
      <c r="AE346" s="75"/>
      <c r="AF346" s="5"/>
      <c r="AG346" s="8"/>
      <c r="AH346" s="8"/>
      <c r="AI346" s="8"/>
      <c r="AJ346" s="8"/>
      <c r="AK346" s="8"/>
      <c r="AL346" s="8"/>
      <c r="AM346" s="8"/>
      <c r="AN346" s="8"/>
      <c r="AO346" s="76">
        <v>-73.079792779999934</v>
      </c>
      <c r="AP346" s="77">
        <v>6.7836790300000303</v>
      </c>
      <c r="AQ346" s="13"/>
      <c r="AR346" s="64">
        <f t="shared" si="58"/>
        <v>0</v>
      </c>
      <c r="AS346" s="14">
        <f t="shared" si="59"/>
        <v>0</v>
      </c>
    </row>
    <row r="347" spans="1:45" ht="23.25" customHeight="1" x14ac:dyDescent="0.25">
      <c r="A347" s="79"/>
      <c r="B347" s="2"/>
      <c r="C347" s="113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5"/>
      <c r="AQ347" s="78"/>
      <c r="AR347" s="7">
        <f>SUM(AR344:AR346)</f>
        <v>6.1028518518518531E-2</v>
      </c>
      <c r="AS347" s="81">
        <f>SUM(AS344:AS346)</f>
        <v>1.396192061941055E-2</v>
      </c>
    </row>
    <row r="348" spans="1:45" ht="37.5" customHeight="1" x14ac:dyDescent="0.25"/>
    <row r="349" spans="1:45" ht="39.75" customHeight="1" x14ac:dyDescent="0.25"/>
    <row r="350" spans="1:45" ht="33.75" customHeight="1" x14ac:dyDescent="0.25">
      <c r="A350" s="126" t="s">
        <v>31</v>
      </c>
      <c r="B350" s="126" t="s">
        <v>32</v>
      </c>
      <c r="C350" s="127" t="s">
        <v>0</v>
      </c>
      <c r="D350" s="128" t="s">
        <v>1</v>
      </c>
      <c r="E350" s="128" t="s">
        <v>2</v>
      </c>
      <c r="F350" s="129" t="s">
        <v>3</v>
      </c>
      <c r="G350" s="116" t="s">
        <v>4</v>
      </c>
      <c r="H350" s="124" t="s">
        <v>5</v>
      </c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  <c r="AA350" s="124"/>
      <c r="AB350" s="116" t="s">
        <v>6</v>
      </c>
      <c r="AC350" s="116" t="s">
        <v>7</v>
      </c>
      <c r="AD350" s="124" t="s">
        <v>8</v>
      </c>
      <c r="AE350" s="124" t="s">
        <v>9</v>
      </c>
      <c r="AF350" s="124"/>
      <c r="AG350" s="124"/>
      <c r="AH350" s="124"/>
      <c r="AI350" s="124"/>
      <c r="AJ350" s="124"/>
      <c r="AK350" s="124"/>
      <c r="AL350" s="124"/>
      <c r="AM350" s="124"/>
      <c r="AN350" s="124" t="s">
        <v>30</v>
      </c>
      <c r="AO350" s="125" t="s">
        <v>10</v>
      </c>
      <c r="AP350" s="125"/>
      <c r="AQ350" s="116" t="s">
        <v>11</v>
      </c>
      <c r="AR350" s="116" t="s">
        <v>12</v>
      </c>
      <c r="AS350" s="116" t="s">
        <v>13</v>
      </c>
    </row>
    <row r="351" spans="1:45" ht="63.75" customHeight="1" x14ac:dyDescent="0.25">
      <c r="A351" s="126"/>
      <c r="B351" s="126"/>
      <c r="C351" s="127"/>
      <c r="D351" s="128"/>
      <c r="E351" s="128"/>
      <c r="F351" s="129"/>
      <c r="G351" s="116"/>
      <c r="H351" s="19" t="s">
        <v>326</v>
      </c>
      <c r="I351" s="19" t="s">
        <v>69</v>
      </c>
      <c r="J351" s="19" t="s">
        <v>327</v>
      </c>
      <c r="K351" s="19" t="s">
        <v>70</v>
      </c>
      <c r="L351" s="19" t="s">
        <v>328</v>
      </c>
      <c r="M351" s="19" t="s">
        <v>71</v>
      </c>
      <c r="N351" s="19" t="s">
        <v>329</v>
      </c>
      <c r="O351" s="19" t="s">
        <v>72</v>
      </c>
      <c r="P351" s="19" t="s">
        <v>73</v>
      </c>
      <c r="Q351" s="19" t="s">
        <v>330</v>
      </c>
      <c r="R351" s="19" t="s">
        <v>331</v>
      </c>
      <c r="S351" s="19" t="s">
        <v>121</v>
      </c>
      <c r="T351" s="19" t="s">
        <v>16</v>
      </c>
      <c r="U351" s="19" t="s">
        <v>332</v>
      </c>
      <c r="V351" s="19" t="s">
        <v>122</v>
      </c>
      <c r="W351" s="19" t="s">
        <v>333</v>
      </c>
      <c r="X351" s="19" t="s">
        <v>170</v>
      </c>
      <c r="Y351" s="19" t="s">
        <v>152</v>
      </c>
      <c r="Z351" s="19" t="s">
        <v>14</v>
      </c>
      <c r="AA351" s="19" t="s">
        <v>334</v>
      </c>
      <c r="AB351" s="116"/>
      <c r="AC351" s="116"/>
      <c r="AD351" s="124"/>
      <c r="AE351" s="19" t="s">
        <v>19</v>
      </c>
      <c r="AF351" s="19" t="s">
        <v>335</v>
      </c>
      <c r="AG351" s="19" t="s">
        <v>336</v>
      </c>
      <c r="AH351" s="19" t="s">
        <v>337</v>
      </c>
      <c r="AI351" s="19" t="s">
        <v>21</v>
      </c>
      <c r="AJ351" s="19" t="s">
        <v>338</v>
      </c>
      <c r="AK351" s="19" t="s">
        <v>192</v>
      </c>
      <c r="AL351" s="19" t="s">
        <v>193</v>
      </c>
      <c r="AM351" s="19" t="s">
        <v>339</v>
      </c>
      <c r="AN351" s="124"/>
      <c r="AO351" s="2" t="s">
        <v>24</v>
      </c>
      <c r="AP351" s="2" t="s">
        <v>23</v>
      </c>
      <c r="AQ351" s="116"/>
      <c r="AR351" s="116"/>
      <c r="AS351" s="116"/>
    </row>
    <row r="352" spans="1:45" ht="26.25" customHeight="1" x14ac:dyDescent="0.25">
      <c r="A352" s="117">
        <v>4</v>
      </c>
      <c r="B352" s="118">
        <v>4</v>
      </c>
      <c r="C352" s="119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1"/>
      <c r="AP352" s="121"/>
      <c r="AQ352" s="34">
        <v>4.9229782249455063</v>
      </c>
      <c r="AR352" s="5"/>
      <c r="AS352" s="6"/>
    </row>
    <row r="353" spans="1:45" ht="27.75" customHeight="1" x14ac:dyDescent="0.25">
      <c r="A353" s="117"/>
      <c r="B353" s="118"/>
      <c r="C353" s="122" t="s">
        <v>473</v>
      </c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7"/>
      <c r="AP353" s="18"/>
      <c r="AQ353" s="7"/>
      <c r="AR353" s="8"/>
      <c r="AS353" s="4"/>
    </row>
    <row r="354" spans="1:45" ht="36" customHeight="1" x14ac:dyDescent="0.25">
      <c r="A354" s="117"/>
      <c r="B354" s="118"/>
      <c r="C354" s="1">
        <v>1</v>
      </c>
      <c r="D354" s="70" t="s">
        <v>376</v>
      </c>
      <c r="E354" s="71"/>
      <c r="F354" s="72">
        <v>1.4</v>
      </c>
      <c r="G354" s="15"/>
      <c r="H354" s="16"/>
      <c r="I354" s="16"/>
      <c r="J354" s="16"/>
      <c r="K354" s="16"/>
      <c r="L354" s="73"/>
      <c r="M354" s="73"/>
      <c r="N354" s="73"/>
      <c r="O354" s="73">
        <v>1.3</v>
      </c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4">
        <v>3</v>
      </c>
      <c r="AC354" s="75">
        <v>3</v>
      </c>
      <c r="AD354" s="74"/>
      <c r="AE354" s="75"/>
      <c r="AF354" s="5"/>
      <c r="AG354" s="8"/>
      <c r="AH354" s="8"/>
      <c r="AI354" s="8"/>
      <c r="AJ354" s="8">
        <v>15</v>
      </c>
      <c r="AK354" s="8"/>
      <c r="AL354" s="8"/>
      <c r="AM354" s="8"/>
      <c r="AN354" s="8">
        <v>40</v>
      </c>
      <c r="AO354" s="76">
        <v>-73.076058000000003</v>
      </c>
      <c r="AP354" s="77">
        <v>6.7784230000000001</v>
      </c>
      <c r="AQ354" s="13"/>
      <c r="AR354" s="64">
        <f t="shared" ref="AR354:AR381" si="60">$H354*0.1+$I354*0.1+$J354*0.1+$K354*0.1+$L354*0.1+$M354*0.1+$N354*0.1+$P354*0.1+$O354*0.1+$Q354*0.1+$R354*0.1+$S354*0.1+$T354*0.1+$U354*0.1+$V354*0.1+$W354*0.1+$X354*0.1+$Y354*0.1+$Z354*0.0001+$AA354*0.1+$AB354*(130/(3600*24))+$AC354*0.001+$AE354*0.0006+$AF354*0.002+$AG354*0.0006+$AH354*0.0002+$AI354*0.0002+$AJ354*0.000004+$AN354*0.0004</f>
        <v>0.1535738888888889</v>
      </c>
      <c r="AS354" s="14">
        <f>AR354/$AQ$352</f>
        <v>3.1195321586170301E-2</v>
      </c>
    </row>
    <row r="355" spans="1:45" ht="36" customHeight="1" x14ac:dyDescent="0.25">
      <c r="A355" s="117"/>
      <c r="B355" s="118"/>
      <c r="C355" s="1">
        <v>2</v>
      </c>
      <c r="D355" s="70" t="s">
        <v>381</v>
      </c>
      <c r="E355" s="71"/>
      <c r="F355" s="72">
        <v>4</v>
      </c>
      <c r="G355" s="15"/>
      <c r="H355" s="16"/>
      <c r="I355" s="16"/>
      <c r="J355" s="16"/>
      <c r="K355" s="16"/>
      <c r="L355" s="73"/>
      <c r="M355" s="73"/>
      <c r="N355" s="73"/>
      <c r="O355" s="73">
        <v>3</v>
      </c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4">
        <v>4</v>
      </c>
      <c r="AC355" s="75">
        <v>10</v>
      </c>
      <c r="AD355" s="74"/>
      <c r="AE355" s="75"/>
      <c r="AF355" s="5"/>
      <c r="AG355" s="8"/>
      <c r="AH355" s="8"/>
      <c r="AI355" s="8"/>
      <c r="AJ355" s="8"/>
      <c r="AK355" s="8"/>
      <c r="AL355" s="8"/>
      <c r="AM355" s="8"/>
      <c r="AN355" s="8">
        <v>280</v>
      </c>
      <c r="AO355" s="76">
        <v>-73.074632196999971</v>
      </c>
      <c r="AP355" s="77">
        <v>6.7780315190000238</v>
      </c>
      <c r="AQ355" s="13"/>
      <c r="AR355" s="64">
        <f t="shared" si="60"/>
        <v>0.42801851851851858</v>
      </c>
      <c r="AS355" s="14">
        <f t="shared" ref="AS355:AS381" si="61">AR355/$AQ$352</f>
        <v>8.6943004612468386E-2</v>
      </c>
    </row>
    <row r="356" spans="1:45" ht="36" customHeight="1" x14ac:dyDescent="0.25">
      <c r="A356" s="117"/>
      <c r="B356" s="118"/>
      <c r="C356" s="1">
        <v>3</v>
      </c>
      <c r="D356" s="70" t="s">
        <v>382</v>
      </c>
      <c r="E356" s="71"/>
      <c r="F356" s="72">
        <v>1.5</v>
      </c>
      <c r="G356" s="15"/>
      <c r="H356" s="16"/>
      <c r="I356" s="16"/>
      <c r="J356" s="16"/>
      <c r="K356" s="16"/>
      <c r="L356" s="73"/>
      <c r="M356" s="73"/>
      <c r="N356" s="73"/>
      <c r="O356" s="73">
        <v>1</v>
      </c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4">
        <v>3</v>
      </c>
      <c r="AC356" s="75">
        <v>3</v>
      </c>
      <c r="AD356" s="74"/>
      <c r="AE356" s="75"/>
      <c r="AF356" s="5"/>
      <c r="AG356" s="8"/>
      <c r="AH356" s="8"/>
      <c r="AI356" s="8"/>
      <c r="AJ356" s="8">
        <v>10</v>
      </c>
      <c r="AK356" s="8"/>
      <c r="AL356" s="8"/>
      <c r="AM356" s="8"/>
      <c r="AN356" s="8"/>
      <c r="AO356" s="76">
        <v>-73.07613833299996</v>
      </c>
      <c r="AP356" s="77">
        <v>6.7784383330000537</v>
      </c>
      <c r="AQ356" s="13"/>
      <c r="AR356" s="64">
        <f t="shared" si="60"/>
        <v>0.10755388888888889</v>
      </c>
      <c r="AS356" s="14">
        <f t="shared" si="61"/>
        <v>2.1847321676926459E-2</v>
      </c>
    </row>
    <row r="357" spans="1:45" ht="36" customHeight="1" x14ac:dyDescent="0.25">
      <c r="A357" s="117"/>
      <c r="B357" s="118"/>
      <c r="C357" s="1">
        <v>4</v>
      </c>
      <c r="D357" s="70" t="s">
        <v>383</v>
      </c>
      <c r="E357" s="71"/>
      <c r="F357" s="72">
        <v>8</v>
      </c>
      <c r="G357" s="15"/>
      <c r="H357" s="16"/>
      <c r="I357" s="16"/>
      <c r="J357" s="16"/>
      <c r="K357" s="16"/>
      <c r="L357" s="73"/>
      <c r="M357" s="73">
        <v>1</v>
      </c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4">
        <v>2</v>
      </c>
      <c r="AC357" s="75">
        <v>2</v>
      </c>
      <c r="AD357" s="74"/>
      <c r="AE357" s="75"/>
      <c r="AF357" s="5"/>
      <c r="AG357" s="8"/>
      <c r="AH357" s="8"/>
      <c r="AI357" s="8"/>
      <c r="AJ357" s="8"/>
      <c r="AK357" s="8"/>
      <c r="AL357" s="8"/>
      <c r="AM357" s="8"/>
      <c r="AN357" s="8"/>
      <c r="AO357" s="76">
        <v>-73.078180119999956</v>
      </c>
      <c r="AP357" s="77">
        <v>6.7896893410000416</v>
      </c>
      <c r="AQ357" s="13"/>
      <c r="AR357" s="64">
        <f t="shared" si="60"/>
        <v>0.10500925925925926</v>
      </c>
      <c r="AS357" s="14">
        <f t="shared" si="61"/>
        <v>2.1330433420802229E-2</v>
      </c>
    </row>
    <row r="358" spans="1:45" ht="36" customHeight="1" x14ac:dyDescent="0.25">
      <c r="A358" s="117"/>
      <c r="B358" s="118"/>
      <c r="C358" s="1">
        <v>5</v>
      </c>
      <c r="D358" s="70" t="s">
        <v>384</v>
      </c>
      <c r="E358" s="71"/>
      <c r="F358" s="72">
        <v>2.5</v>
      </c>
      <c r="G358" s="15"/>
      <c r="H358" s="16"/>
      <c r="I358" s="16"/>
      <c r="J358" s="16"/>
      <c r="K358" s="16">
        <v>0.5</v>
      </c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>
        <v>0.5</v>
      </c>
      <c r="AA358" s="73">
        <v>1</v>
      </c>
      <c r="AB358" s="74">
        <v>3</v>
      </c>
      <c r="AC358" s="75">
        <v>4</v>
      </c>
      <c r="AD358" s="74"/>
      <c r="AE358" s="75"/>
      <c r="AF358" s="5"/>
      <c r="AG358" s="8"/>
      <c r="AH358" s="8"/>
      <c r="AI358" s="8"/>
      <c r="AJ358" s="8"/>
      <c r="AK358" s="8"/>
      <c r="AL358" s="8"/>
      <c r="AM358" s="8"/>
      <c r="AN358" s="8"/>
      <c r="AO358" s="76">
        <v>-73.075222414999985</v>
      </c>
      <c r="AP358" s="77">
        <v>6.7915691270000593</v>
      </c>
      <c r="AQ358" s="13"/>
      <c r="AR358" s="64">
        <f t="shared" si="60"/>
        <v>0.15856388888888892</v>
      </c>
      <c r="AS358" s="14">
        <f t="shared" si="61"/>
        <v>3.2208935657163935E-2</v>
      </c>
    </row>
    <row r="359" spans="1:45" ht="36" customHeight="1" x14ac:dyDescent="0.25">
      <c r="A359" s="117"/>
      <c r="B359" s="118"/>
      <c r="C359" s="1">
        <v>6</v>
      </c>
      <c r="D359" s="70" t="s">
        <v>385</v>
      </c>
      <c r="E359" s="71"/>
      <c r="F359" s="72">
        <v>3</v>
      </c>
      <c r="G359" s="15"/>
      <c r="H359" s="16"/>
      <c r="I359" s="16"/>
      <c r="J359" s="16"/>
      <c r="K359" s="16"/>
      <c r="L359" s="73"/>
      <c r="M359" s="73">
        <v>1.5</v>
      </c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4">
        <v>6</v>
      </c>
      <c r="AC359" s="75">
        <v>3</v>
      </c>
      <c r="AD359" s="74"/>
      <c r="AE359" s="75"/>
      <c r="AF359" s="5"/>
      <c r="AG359" s="8"/>
      <c r="AH359" s="8"/>
      <c r="AI359" s="8"/>
      <c r="AJ359" s="8"/>
      <c r="AK359" s="8"/>
      <c r="AL359" s="8"/>
      <c r="AM359" s="8"/>
      <c r="AN359" s="8"/>
      <c r="AO359" s="76">
        <v>-73.079599454999936</v>
      </c>
      <c r="AP359" s="77">
        <v>6.7893600950000632</v>
      </c>
      <c r="AQ359" s="13"/>
      <c r="AR359" s="64">
        <f t="shared" si="60"/>
        <v>0.1620277777777778</v>
      </c>
      <c r="AS359" s="14">
        <f t="shared" si="61"/>
        <v>3.2912552193864582E-2</v>
      </c>
    </row>
    <row r="360" spans="1:45" ht="36" customHeight="1" x14ac:dyDescent="0.25">
      <c r="A360" s="117"/>
      <c r="B360" s="118"/>
      <c r="C360" s="1">
        <v>7</v>
      </c>
      <c r="D360" s="70" t="s">
        <v>386</v>
      </c>
      <c r="E360" s="71"/>
      <c r="F360" s="72"/>
      <c r="G360" s="15"/>
      <c r="H360" s="16"/>
      <c r="I360" s="16"/>
      <c r="J360" s="16"/>
      <c r="K360" s="16"/>
      <c r="L360" s="73"/>
      <c r="M360" s="73"/>
      <c r="N360" s="73"/>
      <c r="O360" s="73"/>
      <c r="P360" s="73">
        <v>0.5</v>
      </c>
      <c r="Q360" s="73"/>
      <c r="R360" s="73"/>
      <c r="S360" s="73"/>
      <c r="T360" s="73"/>
      <c r="U360" s="73"/>
      <c r="V360" s="73"/>
      <c r="W360" s="73">
        <v>1</v>
      </c>
      <c r="X360" s="73"/>
      <c r="Y360" s="73"/>
      <c r="Z360" s="73"/>
      <c r="AA360" s="73"/>
      <c r="AB360" s="74">
        <v>2</v>
      </c>
      <c r="AC360" s="75">
        <v>2</v>
      </c>
      <c r="AD360" s="74"/>
      <c r="AE360" s="75"/>
      <c r="AF360" s="5"/>
      <c r="AG360" s="8"/>
      <c r="AH360" s="8"/>
      <c r="AI360" s="8"/>
      <c r="AJ360" s="8"/>
      <c r="AK360" s="8"/>
      <c r="AL360" s="8"/>
      <c r="AM360" s="8"/>
      <c r="AN360" s="8"/>
      <c r="AO360" s="76">
        <v>-73.071996666999951</v>
      </c>
      <c r="AP360" s="77">
        <v>6.7824750000000336</v>
      </c>
      <c r="AQ360" s="13"/>
      <c r="AR360" s="64">
        <f t="shared" si="60"/>
        <v>0.15500925925925929</v>
      </c>
      <c r="AS360" s="14">
        <f t="shared" si="61"/>
        <v>3.1486887037972859E-2</v>
      </c>
    </row>
    <row r="361" spans="1:45" ht="36" customHeight="1" x14ac:dyDescent="0.25">
      <c r="A361" s="117"/>
      <c r="B361" s="118"/>
      <c r="C361" s="1">
        <v>8</v>
      </c>
      <c r="D361" s="70" t="s">
        <v>387</v>
      </c>
      <c r="E361" s="71"/>
      <c r="F361" s="72">
        <v>1.9</v>
      </c>
      <c r="G361" s="15"/>
      <c r="H361" s="16"/>
      <c r="I361" s="16"/>
      <c r="J361" s="16"/>
      <c r="K361" s="16"/>
      <c r="L361" s="73"/>
      <c r="M361" s="73"/>
      <c r="N361" s="73"/>
      <c r="O361" s="73">
        <v>1.4</v>
      </c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4">
        <v>4</v>
      </c>
      <c r="AC361" s="75"/>
      <c r="AD361" s="74"/>
      <c r="AE361" s="75"/>
      <c r="AF361" s="5"/>
      <c r="AG361" s="8"/>
      <c r="AH361" s="8"/>
      <c r="AI361" s="8"/>
      <c r="AJ361" s="8"/>
      <c r="AK361" s="8"/>
      <c r="AL361" s="8"/>
      <c r="AM361" s="8"/>
      <c r="AN361" s="8"/>
      <c r="AO361" s="76">
        <v>-73.07631166699997</v>
      </c>
      <c r="AP361" s="77">
        <v>6.7794583330000364</v>
      </c>
      <c r="AQ361" s="13"/>
      <c r="AR361" s="64">
        <f t="shared" si="60"/>
        <v>0.14601851851851849</v>
      </c>
      <c r="AS361" s="14">
        <f t="shared" si="61"/>
        <v>2.9660606211626056E-2</v>
      </c>
    </row>
    <row r="362" spans="1:45" ht="36" customHeight="1" x14ac:dyDescent="0.25">
      <c r="A362" s="117"/>
      <c r="B362" s="118"/>
      <c r="C362" s="1">
        <v>9</v>
      </c>
      <c r="D362" s="70" t="s">
        <v>388</v>
      </c>
      <c r="E362" s="71"/>
      <c r="F362" s="72">
        <v>5</v>
      </c>
      <c r="G362" s="15"/>
      <c r="H362" s="16"/>
      <c r="I362" s="16"/>
      <c r="J362" s="16"/>
      <c r="K362" s="16"/>
      <c r="L362" s="73"/>
      <c r="M362" s="73"/>
      <c r="N362" s="73"/>
      <c r="O362" s="73"/>
      <c r="P362" s="73"/>
      <c r="Q362" s="73"/>
      <c r="R362" s="73"/>
      <c r="S362" s="73"/>
      <c r="T362" s="73">
        <v>1</v>
      </c>
      <c r="U362" s="73"/>
      <c r="V362" s="73"/>
      <c r="W362" s="73"/>
      <c r="X362" s="73"/>
      <c r="Y362" s="73"/>
      <c r="Z362" s="73"/>
      <c r="AA362" s="73"/>
      <c r="AB362" s="74">
        <v>5</v>
      </c>
      <c r="AC362" s="75">
        <v>22</v>
      </c>
      <c r="AD362" s="74"/>
      <c r="AE362" s="75"/>
      <c r="AF362" s="5"/>
      <c r="AG362" s="8"/>
      <c r="AH362" s="8"/>
      <c r="AI362" s="8"/>
      <c r="AJ362" s="8"/>
      <c r="AK362" s="8"/>
      <c r="AL362" s="8"/>
      <c r="AM362" s="8"/>
      <c r="AN362" s="8"/>
      <c r="AO362" s="76">
        <v>-73.071515487999989</v>
      </c>
      <c r="AP362" s="77">
        <v>6.7859939380000469</v>
      </c>
      <c r="AQ362" s="13"/>
      <c r="AR362" s="64">
        <f t="shared" si="60"/>
        <v>0.12952314814814817</v>
      </c>
      <c r="AS362" s="14">
        <f t="shared" si="61"/>
        <v>2.6309916930331717E-2</v>
      </c>
    </row>
    <row r="363" spans="1:45" ht="36" customHeight="1" x14ac:dyDescent="0.25">
      <c r="A363" s="117"/>
      <c r="B363" s="118"/>
      <c r="C363" s="1">
        <v>10</v>
      </c>
      <c r="D363" s="70" t="s">
        <v>389</v>
      </c>
      <c r="E363" s="71"/>
      <c r="F363" s="72">
        <v>1.4</v>
      </c>
      <c r="G363" s="15"/>
      <c r="H363" s="16"/>
      <c r="I363" s="16">
        <v>0.03</v>
      </c>
      <c r="J363" s="16"/>
      <c r="K363" s="16">
        <v>0.2</v>
      </c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4"/>
      <c r="AC363" s="75"/>
      <c r="AD363" s="74"/>
      <c r="AE363" s="75"/>
      <c r="AF363" s="5"/>
      <c r="AG363" s="8"/>
      <c r="AH363" s="8"/>
      <c r="AI363" s="8"/>
      <c r="AJ363" s="8"/>
      <c r="AK363" s="8"/>
      <c r="AL363" s="8"/>
      <c r="AM363" s="8"/>
      <c r="AN363" s="8"/>
      <c r="AO363" s="76">
        <v>-73.115046666999945</v>
      </c>
      <c r="AP363" s="77">
        <v>7.0911383330000604</v>
      </c>
      <c r="AQ363" s="13"/>
      <c r="AR363" s="64">
        <f t="shared" si="60"/>
        <v>2.3000000000000003E-2</v>
      </c>
      <c r="AS363" s="14">
        <f t="shared" si="61"/>
        <v>4.6719686638984868E-3</v>
      </c>
    </row>
    <row r="364" spans="1:45" ht="36" customHeight="1" x14ac:dyDescent="0.25">
      <c r="A364" s="117"/>
      <c r="B364" s="118"/>
      <c r="C364" s="1">
        <v>11</v>
      </c>
      <c r="D364" s="70" t="s">
        <v>390</v>
      </c>
      <c r="E364" s="71"/>
      <c r="F364" s="72">
        <v>1.5</v>
      </c>
      <c r="G364" s="15"/>
      <c r="H364" s="16"/>
      <c r="I364" s="16">
        <v>0.2</v>
      </c>
      <c r="J364" s="16"/>
      <c r="K364" s="16"/>
      <c r="L364" s="73"/>
      <c r="M364" s="73"/>
      <c r="N364" s="73"/>
      <c r="O364" s="73">
        <v>0.2</v>
      </c>
      <c r="P364" s="73"/>
      <c r="Q364" s="73">
        <v>0.5</v>
      </c>
      <c r="R364" s="73"/>
      <c r="S364" s="73"/>
      <c r="T364" s="73"/>
      <c r="U364" s="73">
        <v>0.2</v>
      </c>
      <c r="V364" s="73"/>
      <c r="W364" s="73"/>
      <c r="X364" s="73"/>
      <c r="Y364" s="73">
        <v>0.1</v>
      </c>
      <c r="Z364" s="73"/>
      <c r="AA364" s="73"/>
      <c r="AB364" s="74">
        <v>4</v>
      </c>
      <c r="AC364" s="75">
        <v>8</v>
      </c>
      <c r="AD364" s="74"/>
      <c r="AE364" s="75"/>
      <c r="AF364" s="5"/>
      <c r="AG364" s="8"/>
      <c r="AH364" s="8"/>
      <c r="AI364" s="8"/>
      <c r="AJ364" s="8"/>
      <c r="AK364" s="8"/>
      <c r="AL364" s="8"/>
      <c r="AM364" s="8"/>
      <c r="AN364" s="8"/>
      <c r="AO364" s="76">
        <v>-73.075291211999968</v>
      </c>
      <c r="AP364" s="77">
        <v>6.7791650740000478</v>
      </c>
      <c r="AQ364" s="13"/>
      <c r="AR364" s="64">
        <f t="shared" si="60"/>
        <v>0.13401851851851854</v>
      </c>
      <c r="AS364" s="14">
        <f t="shared" si="61"/>
        <v>2.7223057343505115E-2</v>
      </c>
    </row>
    <row r="365" spans="1:45" ht="36" customHeight="1" x14ac:dyDescent="0.25">
      <c r="A365" s="117"/>
      <c r="B365" s="118"/>
      <c r="C365" s="1">
        <v>12</v>
      </c>
      <c r="D365" s="70" t="s">
        <v>391</v>
      </c>
      <c r="E365" s="71"/>
      <c r="F365" s="72">
        <v>5.3</v>
      </c>
      <c r="G365" s="15"/>
      <c r="H365" s="16"/>
      <c r="I365" s="16"/>
      <c r="J365" s="16"/>
      <c r="K365" s="16">
        <v>0.02</v>
      </c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>
        <v>0.05</v>
      </c>
      <c r="AA365" s="73"/>
      <c r="AB365" s="74">
        <v>4</v>
      </c>
      <c r="AC365" s="75">
        <v>0</v>
      </c>
      <c r="AD365" s="74"/>
      <c r="AE365" s="75"/>
      <c r="AF365" s="5"/>
      <c r="AG365" s="8"/>
      <c r="AH365" s="8"/>
      <c r="AI365" s="8"/>
      <c r="AJ365" s="8">
        <v>40</v>
      </c>
      <c r="AK365" s="8"/>
      <c r="AL365" s="8"/>
      <c r="AM365" s="8"/>
      <c r="AN365" s="8"/>
      <c r="AO365" s="76">
        <v>-73.076145218999955</v>
      </c>
      <c r="AP365" s="77">
        <v>6.7774550130000648</v>
      </c>
      <c r="AQ365" s="13"/>
      <c r="AR365" s="64">
        <f t="shared" si="60"/>
        <v>8.1835185185185188E-3</v>
      </c>
      <c r="AS365" s="14">
        <f t="shared" si="61"/>
        <v>1.6623105251718038E-3</v>
      </c>
    </row>
    <row r="366" spans="1:45" ht="36" customHeight="1" x14ac:dyDescent="0.25">
      <c r="A366" s="117"/>
      <c r="B366" s="118"/>
      <c r="C366" s="1">
        <v>13</v>
      </c>
      <c r="D366" s="70" t="s">
        <v>392</v>
      </c>
      <c r="E366" s="71"/>
      <c r="F366" s="72">
        <v>5</v>
      </c>
      <c r="G366" s="15"/>
      <c r="H366" s="16"/>
      <c r="I366" s="16">
        <v>1</v>
      </c>
      <c r="J366" s="16"/>
      <c r="K366" s="16"/>
      <c r="L366" s="73"/>
      <c r="M366" s="73"/>
      <c r="N366" s="73"/>
      <c r="O366" s="73">
        <v>1</v>
      </c>
      <c r="P366" s="73"/>
      <c r="Q366" s="73">
        <v>1</v>
      </c>
      <c r="R366" s="73">
        <v>1</v>
      </c>
      <c r="S366" s="73"/>
      <c r="T366" s="73"/>
      <c r="U366" s="73">
        <v>1</v>
      </c>
      <c r="V366" s="73"/>
      <c r="W366" s="73"/>
      <c r="X366" s="73"/>
      <c r="Y366" s="73"/>
      <c r="Z366" s="73"/>
      <c r="AA366" s="73"/>
      <c r="AB366" s="74">
        <v>2</v>
      </c>
      <c r="AC366" s="75">
        <v>5</v>
      </c>
      <c r="AD366" s="74"/>
      <c r="AE366" s="75"/>
      <c r="AF366" s="5"/>
      <c r="AG366" s="8"/>
      <c r="AH366" s="8"/>
      <c r="AI366" s="8"/>
      <c r="AJ366" s="8"/>
      <c r="AK366" s="8"/>
      <c r="AL366" s="8"/>
      <c r="AM366" s="8"/>
      <c r="AN366" s="8"/>
      <c r="AO366" s="76">
        <v>-73.075988010999936</v>
      </c>
      <c r="AP366" s="77">
        <v>6.7914628330000264</v>
      </c>
      <c r="AQ366" s="13"/>
      <c r="AR366" s="64">
        <f t="shared" si="60"/>
        <v>0.50800925925925922</v>
      </c>
      <c r="AS366" s="14">
        <f t="shared" si="61"/>
        <v>0.10319144957519744</v>
      </c>
    </row>
    <row r="367" spans="1:45" ht="36" customHeight="1" x14ac:dyDescent="0.25">
      <c r="A367" s="117"/>
      <c r="B367" s="118"/>
      <c r="C367" s="1">
        <v>14</v>
      </c>
      <c r="D367" s="70" t="s">
        <v>393</v>
      </c>
      <c r="E367" s="71"/>
      <c r="F367" s="72"/>
      <c r="G367" s="15"/>
      <c r="H367" s="16"/>
      <c r="I367" s="16"/>
      <c r="J367" s="16"/>
      <c r="K367" s="16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4"/>
      <c r="AC367" s="75"/>
      <c r="AD367" s="74"/>
      <c r="AE367" s="75"/>
      <c r="AF367" s="5"/>
      <c r="AG367" s="8"/>
      <c r="AH367" s="8"/>
      <c r="AI367" s="8"/>
      <c r="AJ367" s="8"/>
      <c r="AK367" s="8"/>
      <c r="AL367" s="8"/>
      <c r="AM367" s="8"/>
      <c r="AN367" s="8"/>
      <c r="AO367" s="76">
        <v>-73.075267335999968</v>
      </c>
      <c r="AP367" s="77">
        <v>6.7908395550000478</v>
      </c>
      <c r="AQ367" s="13"/>
      <c r="AR367" s="64">
        <f t="shared" si="60"/>
        <v>0</v>
      </c>
      <c r="AS367" s="14">
        <f t="shared" si="61"/>
        <v>0</v>
      </c>
    </row>
    <row r="368" spans="1:45" ht="36" customHeight="1" x14ac:dyDescent="0.25">
      <c r="A368" s="117"/>
      <c r="B368" s="118"/>
      <c r="C368" s="1">
        <v>15</v>
      </c>
      <c r="D368" s="70" t="s">
        <v>394</v>
      </c>
      <c r="E368" s="71"/>
      <c r="F368" s="72">
        <v>17.017199999999999</v>
      </c>
      <c r="G368" s="15"/>
      <c r="H368" s="16"/>
      <c r="I368" s="16"/>
      <c r="J368" s="16"/>
      <c r="K368" s="16"/>
      <c r="L368" s="73"/>
      <c r="M368" s="73"/>
      <c r="N368" s="73"/>
      <c r="O368" s="73"/>
      <c r="P368" s="73"/>
      <c r="Q368" s="73"/>
      <c r="R368" s="73"/>
      <c r="S368" s="73"/>
      <c r="T368" s="73"/>
      <c r="U368" s="73">
        <v>1</v>
      </c>
      <c r="V368" s="73"/>
      <c r="W368" s="73"/>
      <c r="X368" s="73"/>
      <c r="Y368" s="73"/>
      <c r="Z368" s="73">
        <v>1</v>
      </c>
      <c r="AA368" s="73"/>
      <c r="AB368" s="74">
        <v>2</v>
      </c>
      <c r="AC368" s="75">
        <v>4</v>
      </c>
      <c r="AD368" s="74"/>
      <c r="AE368" s="75"/>
      <c r="AF368" s="5"/>
      <c r="AG368" s="8"/>
      <c r="AH368" s="8"/>
      <c r="AI368" s="8"/>
      <c r="AJ368" s="8">
        <v>5</v>
      </c>
      <c r="AK368" s="8"/>
      <c r="AL368" s="8"/>
      <c r="AM368" s="8"/>
      <c r="AN368" s="8"/>
      <c r="AO368" s="76">
        <v>-73.074985131999938</v>
      </c>
      <c r="AP368" s="77">
        <v>6.775623458000041</v>
      </c>
      <c r="AQ368" s="13"/>
      <c r="AR368" s="64">
        <f t="shared" si="60"/>
        <v>0.10712925925925927</v>
      </c>
      <c r="AS368" s="14">
        <f t="shared" si="61"/>
        <v>2.1761067054170264E-2</v>
      </c>
    </row>
    <row r="369" spans="1:45" ht="36" customHeight="1" x14ac:dyDescent="0.25">
      <c r="A369" s="117"/>
      <c r="B369" s="118"/>
      <c r="C369" s="1">
        <v>16</v>
      </c>
      <c r="D369" s="70" t="s">
        <v>395</v>
      </c>
      <c r="E369" s="71"/>
      <c r="F369" s="72">
        <v>1.5</v>
      </c>
      <c r="G369" s="15"/>
      <c r="H369" s="16"/>
      <c r="I369" s="16"/>
      <c r="J369" s="16">
        <v>0.25</v>
      </c>
      <c r="K369" s="16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>
        <v>0.25</v>
      </c>
      <c r="AA369" s="73">
        <v>0.25</v>
      </c>
      <c r="AB369" s="74">
        <v>2</v>
      </c>
      <c r="AC369" s="75">
        <v>8</v>
      </c>
      <c r="AD369" s="74"/>
      <c r="AE369" s="75"/>
      <c r="AF369" s="5"/>
      <c r="AG369" s="8"/>
      <c r="AH369" s="8"/>
      <c r="AI369" s="8"/>
      <c r="AJ369" s="8"/>
      <c r="AK369" s="8"/>
      <c r="AL369" s="8"/>
      <c r="AM369" s="8"/>
      <c r="AN369" s="8"/>
      <c r="AO369" s="76">
        <v>-73.075739189999979</v>
      </c>
      <c r="AP369" s="77">
        <v>6.7894182600000477</v>
      </c>
      <c r="AQ369" s="13"/>
      <c r="AR369" s="64">
        <f t="shared" si="60"/>
        <v>6.103425925925926E-2</v>
      </c>
      <c r="AS369" s="14">
        <f t="shared" si="61"/>
        <v>1.2397832464500666E-2</v>
      </c>
    </row>
    <row r="370" spans="1:45" ht="36" customHeight="1" x14ac:dyDescent="0.25">
      <c r="A370" s="117"/>
      <c r="B370" s="118"/>
      <c r="C370" s="1">
        <v>17</v>
      </c>
      <c r="D370" s="70" t="s">
        <v>396</v>
      </c>
      <c r="E370" s="71"/>
      <c r="F370" s="72">
        <v>1.5</v>
      </c>
      <c r="G370" s="15"/>
      <c r="H370" s="16"/>
      <c r="I370" s="16"/>
      <c r="J370" s="16"/>
      <c r="K370" s="16">
        <v>0.05</v>
      </c>
      <c r="L370" s="73"/>
      <c r="M370" s="73"/>
      <c r="N370" s="73"/>
      <c r="O370" s="73">
        <v>0.4</v>
      </c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>
        <v>0.2</v>
      </c>
      <c r="AA370" s="73"/>
      <c r="AB370" s="74">
        <v>6</v>
      </c>
      <c r="AC370" s="75">
        <v>4</v>
      </c>
      <c r="AD370" s="74"/>
      <c r="AE370" s="75"/>
      <c r="AF370" s="5"/>
      <c r="AG370" s="8"/>
      <c r="AH370" s="8"/>
      <c r="AI370" s="8"/>
      <c r="AJ370" s="8">
        <v>150</v>
      </c>
      <c r="AK370" s="8"/>
      <c r="AL370" s="8"/>
      <c r="AM370" s="8"/>
      <c r="AN370" s="8">
        <v>9</v>
      </c>
      <c r="AO370" s="76">
        <v>-73.076218332999986</v>
      </c>
      <c r="AP370" s="77">
        <v>6.7775866670000369</v>
      </c>
      <c r="AQ370" s="13"/>
      <c r="AR370" s="64">
        <f t="shared" si="60"/>
        <v>6.2247777777777798E-2</v>
      </c>
      <c r="AS370" s="14">
        <f t="shared" si="61"/>
        <v>1.2644333355438889E-2</v>
      </c>
    </row>
    <row r="371" spans="1:45" ht="36" customHeight="1" x14ac:dyDescent="0.25">
      <c r="A371" s="117"/>
      <c r="B371" s="118"/>
      <c r="C371" s="1">
        <v>18</v>
      </c>
      <c r="D371" s="70" t="s">
        <v>397</v>
      </c>
      <c r="E371" s="71"/>
      <c r="F371" s="72"/>
      <c r="G371" s="15"/>
      <c r="H371" s="16"/>
      <c r="I371" s="16"/>
      <c r="J371" s="16"/>
      <c r="K371" s="16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4">
        <v>2</v>
      </c>
      <c r="AC371" s="75">
        <v>6</v>
      </c>
      <c r="AD371" s="74"/>
      <c r="AE371" s="75"/>
      <c r="AF371" s="5"/>
      <c r="AG371" s="8"/>
      <c r="AH371" s="8"/>
      <c r="AI371" s="8"/>
      <c r="AJ371" s="8"/>
      <c r="AK371" s="8"/>
      <c r="AL371" s="8"/>
      <c r="AM371" s="8"/>
      <c r="AN371" s="8"/>
      <c r="AO371" s="76">
        <v>-73.076249999999959</v>
      </c>
      <c r="AP371" s="77">
        <v>6.7805900000000747</v>
      </c>
      <c r="AQ371" s="13"/>
      <c r="AR371" s="64">
        <f t="shared" si="60"/>
        <v>9.0092592592592585E-3</v>
      </c>
      <c r="AS371" s="14">
        <f t="shared" si="61"/>
        <v>1.8300424758346324E-3</v>
      </c>
    </row>
    <row r="372" spans="1:45" ht="36" customHeight="1" x14ac:dyDescent="0.25">
      <c r="A372" s="117"/>
      <c r="B372" s="118"/>
      <c r="C372" s="1">
        <v>19</v>
      </c>
      <c r="D372" s="70" t="s">
        <v>398</v>
      </c>
      <c r="E372" s="71"/>
      <c r="F372" s="72">
        <v>8</v>
      </c>
      <c r="G372" s="15"/>
      <c r="H372" s="16"/>
      <c r="I372" s="16"/>
      <c r="J372" s="16"/>
      <c r="K372" s="16"/>
      <c r="L372" s="73"/>
      <c r="M372" s="73"/>
      <c r="N372" s="73"/>
      <c r="O372" s="73">
        <v>1</v>
      </c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4">
        <v>4</v>
      </c>
      <c r="AC372" s="75">
        <v>3</v>
      </c>
      <c r="AD372" s="74"/>
      <c r="AE372" s="75"/>
      <c r="AF372" s="5">
        <v>6</v>
      </c>
      <c r="AG372" s="8"/>
      <c r="AH372" s="8"/>
      <c r="AI372" s="8"/>
      <c r="AJ372" s="8">
        <v>500</v>
      </c>
      <c r="AK372" s="8"/>
      <c r="AL372" s="8"/>
      <c r="AM372" s="8"/>
      <c r="AN372" s="8"/>
      <c r="AO372" s="76">
        <v>-73.077950997999949</v>
      </c>
      <c r="AP372" s="77">
        <v>6.7891408190000666</v>
      </c>
      <c r="AQ372" s="13"/>
      <c r="AR372" s="64">
        <f t="shared" si="60"/>
        <v>0.12301851851851853</v>
      </c>
      <c r="AS372" s="14">
        <f t="shared" si="61"/>
        <v>2.4988637547727576E-2</v>
      </c>
    </row>
    <row r="373" spans="1:45" ht="36" customHeight="1" x14ac:dyDescent="0.25">
      <c r="A373" s="117"/>
      <c r="B373" s="118"/>
      <c r="C373" s="1">
        <v>20</v>
      </c>
      <c r="D373" s="70" t="s">
        <v>399</v>
      </c>
      <c r="E373" s="71"/>
      <c r="F373" s="72">
        <v>1.5</v>
      </c>
      <c r="G373" s="15"/>
      <c r="H373" s="16"/>
      <c r="I373" s="16"/>
      <c r="J373" s="16"/>
      <c r="K373" s="16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>
        <v>0.3</v>
      </c>
      <c r="AA373" s="73"/>
      <c r="AB373" s="74"/>
      <c r="AC373" s="75"/>
      <c r="AD373" s="74"/>
      <c r="AE373" s="75"/>
      <c r="AF373" s="5"/>
      <c r="AG373" s="8"/>
      <c r="AH373" s="8"/>
      <c r="AI373" s="8"/>
      <c r="AJ373" s="8"/>
      <c r="AK373" s="8"/>
      <c r="AL373" s="8"/>
      <c r="AM373" s="8"/>
      <c r="AN373" s="8"/>
      <c r="AO373" s="76">
        <v>-73.076259999999934</v>
      </c>
      <c r="AP373" s="77">
        <v>6.777563333000046</v>
      </c>
      <c r="AQ373" s="13"/>
      <c r="AR373" s="64">
        <f t="shared" si="60"/>
        <v>3.0000000000000001E-5</v>
      </c>
      <c r="AS373" s="14">
        <f t="shared" si="61"/>
        <v>6.0938721703023737E-6</v>
      </c>
    </row>
    <row r="374" spans="1:45" ht="36" customHeight="1" x14ac:dyDescent="0.25">
      <c r="A374" s="117"/>
      <c r="B374" s="118"/>
      <c r="C374" s="1">
        <v>21</v>
      </c>
      <c r="D374" s="70" t="s">
        <v>400</v>
      </c>
      <c r="E374" s="71"/>
      <c r="F374" s="72">
        <v>10</v>
      </c>
      <c r="G374" s="15"/>
      <c r="H374" s="16"/>
      <c r="I374" s="16"/>
      <c r="J374" s="16"/>
      <c r="K374" s="16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>
        <v>1</v>
      </c>
      <c r="AB374" s="74">
        <v>6</v>
      </c>
      <c r="AC374" s="75">
        <v>3</v>
      </c>
      <c r="AD374" s="74"/>
      <c r="AE374" s="75">
        <v>5</v>
      </c>
      <c r="AF374" s="5"/>
      <c r="AG374" s="8"/>
      <c r="AH374" s="8"/>
      <c r="AI374" s="8">
        <v>1</v>
      </c>
      <c r="AJ374" s="8"/>
      <c r="AK374" s="8"/>
      <c r="AL374" s="8"/>
      <c r="AM374" s="8"/>
      <c r="AN374" s="8"/>
      <c r="AO374" s="76">
        <v>-73.075812579999933</v>
      </c>
      <c r="AP374" s="77">
        <v>6.7920246200000634</v>
      </c>
      <c r="AQ374" s="13"/>
      <c r="AR374" s="64">
        <f t="shared" si="60"/>
        <v>0.11522777777777779</v>
      </c>
      <c r="AS374" s="14">
        <f t="shared" si="61"/>
        <v>2.3406111608192878E-2</v>
      </c>
    </row>
    <row r="375" spans="1:45" ht="36" customHeight="1" x14ac:dyDescent="0.25">
      <c r="A375" s="117"/>
      <c r="B375" s="118"/>
      <c r="C375" s="1">
        <v>22</v>
      </c>
      <c r="D375" s="70" t="s">
        <v>401</v>
      </c>
      <c r="E375" s="71"/>
      <c r="F375" s="72"/>
      <c r="G375" s="15"/>
      <c r="H375" s="16"/>
      <c r="I375" s="16"/>
      <c r="J375" s="16"/>
      <c r="K375" s="16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4">
        <v>2</v>
      </c>
      <c r="AC375" s="75">
        <v>2</v>
      </c>
      <c r="AD375" s="74"/>
      <c r="AE375" s="75">
        <v>2</v>
      </c>
      <c r="AF375" s="5"/>
      <c r="AG375" s="8"/>
      <c r="AH375" s="8"/>
      <c r="AI375" s="8"/>
      <c r="AJ375" s="8"/>
      <c r="AK375" s="8"/>
      <c r="AL375" s="8"/>
      <c r="AM375" s="8"/>
      <c r="AN375" s="8"/>
      <c r="AO375" s="76">
        <v>-73.076852409999958</v>
      </c>
      <c r="AP375" s="77">
        <v>6.7859870900000487</v>
      </c>
      <c r="AQ375" s="13"/>
      <c r="AR375" s="64">
        <f t="shared" si="60"/>
        <v>6.209259259259259E-3</v>
      </c>
      <c r="AS375" s="14">
        <f t="shared" si="61"/>
        <v>1.2612810732730777E-3</v>
      </c>
    </row>
    <row r="376" spans="1:45" ht="36" customHeight="1" x14ac:dyDescent="0.25">
      <c r="A376" s="117"/>
      <c r="B376" s="118"/>
      <c r="C376" s="1">
        <v>23</v>
      </c>
      <c r="D376" s="70" t="s">
        <v>402</v>
      </c>
      <c r="E376" s="71"/>
      <c r="F376" s="72"/>
      <c r="G376" s="15"/>
      <c r="H376" s="16"/>
      <c r="I376" s="16"/>
      <c r="J376" s="16"/>
      <c r="K376" s="16"/>
      <c r="L376" s="73"/>
      <c r="M376" s="73"/>
      <c r="N376" s="73"/>
      <c r="O376" s="73">
        <v>1</v>
      </c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>
        <v>0.5</v>
      </c>
      <c r="AA376" s="73">
        <v>0.25</v>
      </c>
      <c r="AB376" s="74">
        <v>3</v>
      </c>
      <c r="AC376" s="75">
        <v>5</v>
      </c>
      <c r="AD376" s="74"/>
      <c r="AE376" s="75"/>
      <c r="AF376" s="5"/>
      <c r="AG376" s="8"/>
      <c r="AH376" s="8"/>
      <c r="AI376" s="8"/>
      <c r="AJ376" s="8"/>
      <c r="AK376" s="8"/>
      <c r="AL376" s="8">
        <v>6</v>
      </c>
      <c r="AM376" s="8"/>
      <c r="AN376" s="8"/>
      <c r="AO376" s="76">
        <v>-73.078380439999989</v>
      </c>
      <c r="AP376" s="77">
        <v>6.7896013900000298</v>
      </c>
      <c r="AQ376" s="13"/>
      <c r="AR376" s="64">
        <f t="shared" si="60"/>
        <v>0.1345638888888889</v>
      </c>
      <c r="AS376" s="14">
        <f t="shared" si="61"/>
        <v>2.7333837920922029E-2</v>
      </c>
    </row>
    <row r="377" spans="1:45" ht="36" customHeight="1" x14ac:dyDescent="0.25">
      <c r="A377" s="117"/>
      <c r="B377" s="118"/>
      <c r="C377" s="1">
        <v>24</v>
      </c>
      <c r="D377" s="70" t="s">
        <v>403</v>
      </c>
      <c r="E377" s="71"/>
      <c r="F377" s="72"/>
      <c r="G377" s="15"/>
      <c r="H377" s="16"/>
      <c r="I377" s="16"/>
      <c r="J377" s="16"/>
      <c r="K377" s="16">
        <v>0.2</v>
      </c>
      <c r="L377" s="73"/>
      <c r="M377" s="73"/>
      <c r="N377" s="73"/>
      <c r="O377" s="73"/>
      <c r="P377" s="73"/>
      <c r="Q377" s="73">
        <v>2</v>
      </c>
      <c r="R377" s="73"/>
      <c r="S377" s="73"/>
      <c r="T377" s="73"/>
      <c r="U377" s="73"/>
      <c r="V377" s="73"/>
      <c r="W377" s="73"/>
      <c r="X377" s="73"/>
      <c r="Y377" s="73"/>
      <c r="Z377" s="73">
        <v>0.3</v>
      </c>
      <c r="AA377" s="73"/>
      <c r="AB377" s="74">
        <v>3</v>
      </c>
      <c r="AC377" s="75">
        <v>0</v>
      </c>
      <c r="AD377" s="74"/>
      <c r="AE377" s="75"/>
      <c r="AF377" s="5"/>
      <c r="AG377" s="8"/>
      <c r="AH377" s="8"/>
      <c r="AI377" s="8"/>
      <c r="AJ377" s="8"/>
      <c r="AK377" s="8"/>
      <c r="AL377" s="8"/>
      <c r="AM377" s="8"/>
      <c r="AN377" s="8">
        <v>200</v>
      </c>
      <c r="AO377" s="76">
        <v>-73.074009781999962</v>
      </c>
      <c r="AP377" s="77">
        <v>6.7828414090000706</v>
      </c>
      <c r="AQ377" s="13"/>
      <c r="AR377" s="64">
        <f t="shared" si="60"/>
        <v>0.30454388888888895</v>
      </c>
      <c r="AS377" s="14">
        <f t="shared" si="61"/>
        <v>6.1861717637855286E-2</v>
      </c>
    </row>
    <row r="378" spans="1:45" ht="36" customHeight="1" x14ac:dyDescent="0.25">
      <c r="A378" s="117"/>
      <c r="B378" s="118"/>
      <c r="C378" s="1">
        <v>25</v>
      </c>
      <c r="D378" s="70" t="s">
        <v>404</v>
      </c>
      <c r="E378" s="71"/>
      <c r="F378" s="72"/>
      <c r="G378" s="15"/>
      <c r="H378" s="16"/>
      <c r="I378" s="16"/>
      <c r="J378" s="16"/>
      <c r="K378" s="16"/>
      <c r="L378" s="73"/>
      <c r="M378" s="73"/>
      <c r="N378" s="73"/>
      <c r="O378" s="73">
        <v>3</v>
      </c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>
        <v>1</v>
      </c>
      <c r="AA378" s="73"/>
      <c r="AB378" s="74">
        <v>4</v>
      </c>
      <c r="AC378" s="75">
        <v>0</v>
      </c>
      <c r="AD378" s="74"/>
      <c r="AE378" s="75">
        <v>2</v>
      </c>
      <c r="AF378" s="5"/>
      <c r="AG378" s="8"/>
      <c r="AH378" s="8"/>
      <c r="AI378" s="8"/>
      <c r="AJ378" s="8">
        <v>30</v>
      </c>
      <c r="AK378" s="8"/>
      <c r="AL378" s="8"/>
      <c r="AM378" s="8"/>
      <c r="AN378" s="8">
        <v>120</v>
      </c>
      <c r="AO378" s="76">
        <v>-73.075150686999962</v>
      </c>
      <c r="AP378" s="77">
        <v>6.7815745010000228</v>
      </c>
      <c r="AQ378" s="13"/>
      <c r="AR378" s="64">
        <f t="shared" si="60"/>
        <v>0.35543851851851854</v>
      </c>
      <c r="AS378" s="14">
        <f t="shared" si="61"/>
        <v>7.2199896541783506E-2</v>
      </c>
    </row>
    <row r="379" spans="1:45" ht="36" customHeight="1" x14ac:dyDescent="0.25">
      <c r="A379" s="117"/>
      <c r="B379" s="118"/>
      <c r="C379" s="1">
        <v>26</v>
      </c>
      <c r="D379" s="70" t="s">
        <v>405</v>
      </c>
      <c r="E379" s="71"/>
      <c r="F379" s="72">
        <v>4.5999999999999996</v>
      </c>
      <c r="G379" s="15"/>
      <c r="H379" s="16"/>
      <c r="I379" s="16"/>
      <c r="J379" s="16"/>
      <c r="K379" s="16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4">
        <v>4</v>
      </c>
      <c r="AC379" s="75">
        <v>4</v>
      </c>
      <c r="AD379" s="74"/>
      <c r="AE379" s="75"/>
      <c r="AF379" s="5"/>
      <c r="AG379" s="8"/>
      <c r="AH379" s="8"/>
      <c r="AI379" s="8"/>
      <c r="AJ379" s="8">
        <v>48</v>
      </c>
      <c r="AK379" s="8">
        <v>1</v>
      </c>
      <c r="AL379" s="8">
        <v>1</v>
      </c>
      <c r="AM379" s="8"/>
      <c r="AN379" s="8"/>
      <c r="AO379" s="76">
        <v>-73.07766694299994</v>
      </c>
      <c r="AP379" s="77">
        <v>6.7844287600000257</v>
      </c>
      <c r="AQ379" s="13"/>
      <c r="AR379" s="64">
        <f t="shared" si="60"/>
        <v>1.0210518518518518E-2</v>
      </c>
      <c r="AS379" s="14">
        <f t="shared" si="61"/>
        <v>2.0740531548119005E-3</v>
      </c>
    </row>
    <row r="380" spans="1:45" ht="36" customHeight="1" x14ac:dyDescent="0.25">
      <c r="A380" s="117"/>
      <c r="B380" s="118"/>
      <c r="C380" s="1">
        <v>27</v>
      </c>
      <c r="D380" s="70" t="s">
        <v>406</v>
      </c>
      <c r="E380" s="71"/>
      <c r="F380" s="72"/>
      <c r="G380" s="15"/>
      <c r="H380" s="16"/>
      <c r="I380" s="16"/>
      <c r="J380" s="16"/>
      <c r="K380" s="16">
        <v>0.5</v>
      </c>
      <c r="L380" s="73"/>
      <c r="M380" s="73"/>
      <c r="N380" s="73"/>
      <c r="O380" s="73"/>
      <c r="P380" s="73">
        <v>0.5</v>
      </c>
      <c r="Q380" s="73"/>
      <c r="R380" s="73">
        <v>2</v>
      </c>
      <c r="S380" s="73"/>
      <c r="T380" s="73"/>
      <c r="U380" s="73"/>
      <c r="V380" s="73"/>
      <c r="W380" s="73"/>
      <c r="X380" s="73"/>
      <c r="Y380" s="73">
        <v>0.5</v>
      </c>
      <c r="Z380" s="73">
        <v>0.5</v>
      </c>
      <c r="AA380" s="73"/>
      <c r="AB380" s="74">
        <v>9</v>
      </c>
      <c r="AC380" s="75">
        <v>0</v>
      </c>
      <c r="AD380" s="74"/>
      <c r="AE380" s="75">
        <v>2</v>
      </c>
      <c r="AF380" s="5"/>
      <c r="AG380" s="8"/>
      <c r="AH380" s="8">
        <v>8</v>
      </c>
      <c r="AI380" s="8"/>
      <c r="AJ380" s="8">
        <v>70</v>
      </c>
      <c r="AK380" s="8"/>
      <c r="AL380" s="8"/>
      <c r="AM380" s="8"/>
      <c r="AN380" s="8"/>
      <c r="AO380" s="76">
        <v>-73.07528304799996</v>
      </c>
      <c r="AP380" s="77">
        <v>6.7816274310000608</v>
      </c>
      <c r="AQ380" s="13"/>
      <c r="AR380" s="64">
        <f t="shared" si="60"/>
        <v>0.36667166666666667</v>
      </c>
      <c r="AS380" s="14">
        <f t="shared" si="61"/>
        <v>7.448167550461296E-2</v>
      </c>
    </row>
    <row r="381" spans="1:45" ht="36" customHeight="1" x14ac:dyDescent="0.25">
      <c r="A381" s="117"/>
      <c r="B381" s="118"/>
      <c r="C381" s="1">
        <v>28</v>
      </c>
      <c r="D381" s="70" t="s">
        <v>407</v>
      </c>
      <c r="E381" s="71"/>
      <c r="F381" s="72"/>
      <c r="G381" s="15"/>
      <c r="H381" s="16"/>
      <c r="I381" s="16"/>
      <c r="J381" s="16"/>
      <c r="K381" s="16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4">
        <v>3</v>
      </c>
      <c r="AC381" s="75"/>
      <c r="AD381" s="74"/>
      <c r="AE381" s="75"/>
      <c r="AF381" s="5"/>
      <c r="AG381" s="8"/>
      <c r="AH381" s="8"/>
      <c r="AI381" s="8"/>
      <c r="AJ381" s="8"/>
      <c r="AK381" s="8"/>
      <c r="AL381" s="8"/>
      <c r="AM381" s="8"/>
      <c r="AN381" s="8"/>
      <c r="AO381" s="76">
        <v>-73.071411554999941</v>
      </c>
      <c r="AP381" s="77">
        <v>6.7663057720000674</v>
      </c>
      <c r="AQ381" s="13"/>
      <c r="AR381" s="64">
        <f t="shared" si="60"/>
        <v>4.5138888888888885E-3</v>
      </c>
      <c r="AS381" s="14">
        <f t="shared" si="61"/>
        <v>9.169020626612367E-4</v>
      </c>
    </row>
    <row r="382" spans="1:45" ht="23.25" customHeight="1" x14ac:dyDescent="0.25">
      <c r="A382" s="79"/>
      <c r="B382" s="2"/>
      <c r="C382" s="113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5"/>
      <c r="AQ382" s="78"/>
      <c r="AR382" s="7">
        <f>SUM(AR354:AR381)</f>
        <v>3.8783579259259264</v>
      </c>
      <c r="AS382" s="81">
        <f>SUM(AS354:AS381)</f>
        <v>0.78780724770905441</v>
      </c>
    </row>
    <row r="383" spans="1:45" ht="40.5" customHeight="1" x14ac:dyDescent="0.25"/>
    <row r="384" spans="1:45" ht="39.75" customHeight="1" x14ac:dyDescent="0.25"/>
    <row r="385" spans="1:45" ht="38.25" customHeight="1" x14ac:dyDescent="0.25"/>
    <row r="386" spans="1:45" ht="33.75" customHeight="1" x14ac:dyDescent="0.25">
      <c r="A386" s="126" t="s">
        <v>31</v>
      </c>
      <c r="B386" s="126" t="s">
        <v>32</v>
      </c>
      <c r="C386" s="127" t="s">
        <v>0</v>
      </c>
      <c r="D386" s="128" t="s">
        <v>1</v>
      </c>
      <c r="E386" s="128" t="s">
        <v>2</v>
      </c>
      <c r="F386" s="129" t="s">
        <v>3</v>
      </c>
      <c r="G386" s="116" t="s">
        <v>4</v>
      </c>
      <c r="H386" s="124" t="s">
        <v>5</v>
      </c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  <c r="AB386" s="116" t="s">
        <v>6</v>
      </c>
      <c r="AC386" s="116" t="s">
        <v>7</v>
      </c>
      <c r="AD386" s="124" t="s">
        <v>8</v>
      </c>
      <c r="AE386" s="124" t="s">
        <v>9</v>
      </c>
      <c r="AF386" s="124"/>
      <c r="AG386" s="124"/>
      <c r="AH386" s="124"/>
      <c r="AI386" s="124"/>
      <c r="AJ386" s="124"/>
      <c r="AK386" s="124"/>
      <c r="AL386" s="124"/>
      <c r="AM386" s="124"/>
      <c r="AN386" s="124" t="s">
        <v>30</v>
      </c>
      <c r="AO386" s="125" t="s">
        <v>10</v>
      </c>
      <c r="AP386" s="125"/>
      <c r="AQ386" s="116" t="s">
        <v>11</v>
      </c>
      <c r="AR386" s="116" t="s">
        <v>12</v>
      </c>
      <c r="AS386" s="116" t="s">
        <v>13</v>
      </c>
    </row>
    <row r="387" spans="1:45" ht="63.75" customHeight="1" x14ac:dyDescent="0.25">
      <c r="A387" s="126"/>
      <c r="B387" s="126"/>
      <c r="C387" s="127"/>
      <c r="D387" s="128"/>
      <c r="E387" s="128"/>
      <c r="F387" s="129"/>
      <c r="G387" s="116"/>
      <c r="H387" s="19" t="s">
        <v>326</v>
      </c>
      <c r="I387" s="19" t="s">
        <v>69</v>
      </c>
      <c r="J387" s="19" t="s">
        <v>327</v>
      </c>
      <c r="K387" s="19" t="s">
        <v>70</v>
      </c>
      <c r="L387" s="19" t="s">
        <v>328</v>
      </c>
      <c r="M387" s="19" t="s">
        <v>71</v>
      </c>
      <c r="N387" s="19" t="s">
        <v>329</v>
      </c>
      <c r="O387" s="19" t="s">
        <v>72</v>
      </c>
      <c r="P387" s="19" t="s">
        <v>73</v>
      </c>
      <c r="Q387" s="19" t="s">
        <v>330</v>
      </c>
      <c r="R387" s="19" t="s">
        <v>331</v>
      </c>
      <c r="S387" s="19" t="s">
        <v>121</v>
      </c>
      <c r="T387" s="19" t="s">
        <v>16</v>
      </c>
      <c r="U387" s="19" t="s">
        <v>332</v>
      </c>
      <c r="V387" s="19" t="s">
        <v>122</v>
      </c>
      <c r="W387" s="19" t="s">
        <v>333</v>
      </c>
      <c r="X387" s="19" t="s">
        <v>170</v>
      </c>
      <c r="Y387" s="19" t="s">
        <v>152</v>
      </c>
      <c r="Z387" s="19" t="s">
        <v>14</v>
      </c>
      <c r="AA387" s="19" t="s">
        <v>334</v>
      </c>
      <c r="AB387" s="116"/>
      <c r="AC387" s="116"/>
      <c r="AD387" s="124"/>
      <c r="AE387" s="19" t="s">
        <v>19</v>
      </c>
      <c r="AF387" s="19" t="s">
        <v>335</v>
      </c>
      <c r="AG387" s="19" t="s">
        <v>336</v>
      </c>
      <c r="AH387" s="19" t="s">
        <v>337</v>
      </c>
      <c r="AI387" s="19" t="s">
        <v>21</v>
      </c>
      <c r="AJ387" s="19" t="s">
        <v>338</v>
      </c>
      <c r="AK387" s="19" t="s">
        <v>192</v>
      </c>
      <c r="AL387" s="19" t="s">
        <v>193</v>
      </c>
      <c r="AM387" s="19" t="s">
        <v>339</v>
      </c>
      <c r="AN387" s="124"/>
      <c r="AO387" s="2" t="s">
        <v>24</v>
      </c>
      <c r="AP387" s="2" t="s">
        <v>23</v>
      </c>
      <c r="AQ387" s="116"/>
      <c r="AR387" s="116"/>
      <c r="AS387" s="116"/>
    </row>
    <row r="388" spans="1:45" ht="26.25" customHeight="1" x14ac:dyDescent="0.25">
      <c r="A388" s="117">
        <v>1</v>
      </c>
      <c r="B388" s="118">
        <v>1</v>
      </c>
      <c r="C388" s="130" t="s">
        <v>489</v>
      </c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  <c r="AB388" s="131"/>
      <c r="AC388" s="131"/>
      <c r="AD388" s="131"/>
      <c r="AE388" s="131"/>
      <c r="AF388" s="131"/>
      <c r="AG388" s="131"/>
      <c r="AH388" s="131"/>
      <c r="AI388" s="131"/>
      <c r="AJ388" s="131"/>
      <c r="AK388" s="131"/>
      <c r="AL388" s="131"/>
      <c r="AM388" s="131"/>
      <c r="AN388" s="131"/>
      <c r="AO388" s="132"/>
      <c r="AP388" s="132"/>
      <c r="AQ388" s="34">
        <v>5.58</v>
      </c>
      <c r="AR388" s="5"/>
      <c r="AS388" s="6"/>
    </row>
    <row r="389" spans="1:45" ht="27.75" customHeight="1" x14ac:dyDescent="0.25">
      <c r="A389" s="117"/>
      <c r="B389" s="118"/>
      <c r="C389" s="122" t="s">
        <v>474</v>
      </c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  <c r="AA389" s="123"/>
      <c r="AB389" s="123"/>
      <c r="AC389" s="123"/>
      <c r="AD389" s="123"/>
      <c r="AE389" s="123"/>
      <c r="AF389" s="123"/>
      <c r="AG389" s="123"/>
      <c r="AH389" s="123"/>
      <c r="AI389" s="123"/>
      <c r="AJ389" s="123"/>
      <c r="AK389" s="123"/>
      <c r="AL389" s="123"/>
      <c r="AM389" s="123"/>
      <c r="AN389" s="123"/>
      <c r="AO389" s="17"/>
      <c r="AP389" s="18"/>
      <c r="AQ389" s="7"/>
      <c r="AR389" s="8"/>
      <c r="AS389" s="4"/>
    </row>
    <row r="390" spans="1:45" ht="36" customHeight="1" x14ac:dyDescent="0.25">
      <c r="A390" s="117"/>
      <c r="B390" s="118"/>
      <c r="C390" s="1">
        <v>1</v>
      </c>
      <c r="D390" s="70" t="s">
        <v>408</v>
      </c>
      <c r="E390" s="71"/>
      <c r="F390" s="72"/>
      <c r="G390" s="15"/>
      <c r="H390" s="16">
        <v>1</v>
      </c>
      <c r="I390" s="16"/>
      <c r="J390" s="16"/>
      <c r="K390" s="16"/>
      <c r="L390" s="73"/>
      <c r="M390" s="73">
        <v>1</v>
      </c>
      <c r="N390" s="73"/>
      <c r="O390" s="73">
        <v>0.5</v>
      </c>
      <c r="P390" s="73">
        <v>1</v>
      </c>
      <c r="Q390" s="73"/>
      <c r="R390" s="73">
        <v>0.5</v>
      </c>
      <c r="S390" s="73"/>
      <c r="T390" s="73">
        <v>4</v>
      </c>
      <c r="U390" s="73"/>
      <c r="V390" s="73"/>
      <c r="W390" s="73"/>
      <c r="X390" s="73"/>
      <c r="Y390" s="73"/>
      <c r="Z390" s="73"/>
      <c r="AA390" s="73"/>
      <c r="AB390" s="74">
        <v>4</v>
      </c>
      <c r="AC390" s="75">
        <v>15</v>
      </c>
      <c r="AD390" s="74"/>
      <c r="AE390" s="75"/>
      <c r="AF390" s="5"/>
      <c r="AG390" s="8"/>
      <c r="AH390" s="8"/>
      <c r="AI390" s="8"/>
      <c r="AJ390" s="8">
        <v>30</v>
      </c>
      <c r="AK390" s="8"/>
      <c r="AL390" s="8"/>
      <c r="AM390" s="8"/>
      <c r="AN390" s="8"/>
      <c r="AO390" s="76">
        <v>-73.061205999999999</v>
      </c>
      <c r="AP390" s="77">
        <v>6.7995010000000002</v>
      </c>
      <c r="AQ390" s="13"/>
      <c r="AR390" s="64">
        <f t="shared" ref="AR390:AR395" si="62">$H390*0.1+$I390*0.1+$J390*0.1+$K390*0.1+$L390*0.1+$M390*0.1+$N390*0.1+$P390*0.1+$O390*0.1+$Q390*0.1+$R390*0.1+$S390*0.1+$T390*0.1+$U390*0.1+$V390*0.1+$W390*0.1+$X390*0.1+$Y390*0.1+$Z390*0.0001+$AA390*0.1+$AB390*(130/(3600*24))+$AC390*0.001+$AE390*0.0006+$AF390*0.002+$AG390*0.0006+$AH390*0.0002+$AI390*0.0002+$AJ390*0.000004+$AN390*0.0004</f>
        <v>0.8211385185185186</v>
      </c>
      <c r="AS390" s="14">
        <f>AR390/$AQ$388</f>
        <v>0.14715744059471658</v>
      </c>
    </row>
    <row r="391" spans="1:45" ht="36" customHeight="1" x14ac:dyDescent="0.25">
      <c r="A391" s="117"/>
      <c r="B391" s="118"/>
      <c r="C391" s="1">
        <v>2</v>
      </c>
      <c r="D391" s="70" t="s">
        <v>408</v>
      </c>
      <c r="E391" s="71"/>
      <c r="F391" s="72"/>
      <c r="G391" s="15"/>
      <c r="H391" s="16"/>
      <c r="I391" s="16"/>
      <c r="J391" s="16"/>
      <c r="K391" s="16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4">
        <v>4</v>
      </c>
      <c r="AC391" s="75">
        <v>3</v>
      </c>
      <c r="AD391" s="74"/>
      <c r="AE391" s="75"/>
      <c r="AF391" s="5"/>
      <c r="AG391" s="8"/>
      <c r="AH391" s="8"/>
      <c r="AI391" s="8"/>
      <c r="AJ391" s="8"/>
      <c r="AK391" s="8"/>
      <c r="AL391" s="8"/>
      <c r="AM391" s="8"/>
      <c r="AN391" s="8"/>
      <c r="AO391" s="76">
        <v>-73.059459000000004</v>
      </c>
      <c r="AP391" s="77">
        <v>6.799569</v>
      </c>
      <c r="AQ391" s="13"/>
      <c r="AR391" s="64">
        <f t="shared" si="62"/>
        <v>9.0185185185185195E-3</v>
      </c>
      <c r="AS391" s="14">
        <f t="shared" ref="AS391:AS395" si="63">AR391/$AQ$388</f>
        <v>1.616221956723749E-3</v>
      </c>
    </row>
    <row r="392" spans="1:45" ht="36" customHeight="1" x14ac:dyDescent="0.25">
      <c r="A392" s="117"/>
      <c r="B392" s="118"/>
      <c r="C392" s="1">
        <v>3</v>
      </c>
      <c r="D392" s="70" t="s">
        <v>408</v>
      </c>
      <c r="E392" s="71"/>
      <c r="F392" s="72"/>
      <c r="G392" s="15"/>
      <c r="H392" s="16"/>
      <c r="I392" s="16"/>
      <c r="J392" s="16"/>
      <c r="K392" s="16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4"/>
      <c r="AC392" s="75"/>
      <c r="AD392" s="74"/>
      <c r="AE392" s="75">
        <v>30</v>
      </c>
      <c r="AF392" s="5"/>
      <c r="AG392" s="8"/>
      <c r="AH392" s="8"/>
      <c r="AI392" s="8"/>
      <c r="AJ392" s="8"/>
      <c r="AK392" s="8"/>
      <c r="AL392" s="8"/>
      <c r="AM392" s="8"/>
      <c r="AN392" s="8"/>
      <c r="AO392" s="76">
        <v>-73.058361000000005</v>
      </c>
      <c r="AP392" s="77">
        <v>6.7991130000000002</v>
      </c>
      <c r="AQ392" s="13"/>
      <c r="AR392" s="64">
        <f t="shared" si="62"/>
        <v>1.7999999999999999E-2</v>
      </c>
      <c r="AS392" s="14">
        <f t="shared" si="63"/>
        <v>3.2258064516129028E-3</v>
      </c>
    </row>
    <row r="393" spans="1:45" ht="36" customHeight="1" x14ac:dyDescent="0.25">
      <c r="A393" s="117"/>
      <c r="B393" s="118"/>
      <c r="C393" s="1">
        <v>4</v>
      </c>
      <c r="D393" s="70" t="s">
        <v>409</v>
      </c>
      <c r="E393" s="71"/>
      <c r="F393" s="72">
        <v>11.6</v>
      </c>
      <c r="G393" s="15"/>
      <c r="H393" s="16"/>
      <c r="I393" s="16"/>
      <c r="J393" s="16"/>
      <c r="K393" s="16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4">
        <v>11</v>
      </c>
      <c r="AC393" s="75">
        <v>10</v>
      </c>
      <c r="AD393" s="74"/>
      <c r="AE393" s="75"/>
      <c r="AF393" s="5"/>
      <c r="AG393" s="8"/>
      <c r="AH393" s="8"/>
      <c r="AI393" s="8"/>
      <c r="AJ393" s="8">
        <v>93000</v>
      </c>
      <c r="AK393" s="8"/>
      <c r="AL393" s="8"/>
      <c r="AM393" s="8"/>
      <c r="AN393" s="8"/>
      <c r="AO393" s="76">
        <v>-73.050673997999979</v>
      </c>
      <c r="AP393" s="77">
        <v>6.7969008430000599</v>
      </c>
      <c r="AQ393" s="13"/>
      <c r="AR393" s="64">
        <f t="shared" si="62"/>
        <v>0.39855092592592595</v>
      </c>
      <c r="AS393" s="14">
        <f t="shared" si="63"/>
        <v>7.1424897119341565E-2</v>
      </c>
    </row>
    <row r="394" spans="1:45" ht="36" customHeight="1" x14ac:dyDescent="0.25">
      <c r="A394" s="117"/>
      <c r="B394" s="118"/>
      <c r="C394" s="1">
        <v>5</v>
      </c>
      <c r="D394" s="70" t="s">
        <v>410</v>
      </c>
      <c r="E394" s="71"/>
      <c r="F394" s="72">
        <v>187</v>
      </c>
      <c r="G394" s="15"/>
      <c r="H394" s="16"/>
      <c r="I394" s="16"/>
      <c r="J394" s="16"/>
      <c r="K394" s="16"/>
      <c r="L394" s="73"/>
      <c r="M394" s="73">
        <v>5</v>
      </c>
      <c r="N394" s="73"/>
      <c r="O394" s="73"/>
      <c r="P394" s="73"/>
      <c r="Q394" s="73"/>
      <c r="R394" s="73">
        <v>0.5</v>
      </c>
      <c r="S394" s="73"/>
      <c r="T394" s="73"/>
      <c r="U394" s="73"/>
      <c r="V394" s="73"/>
      <c r="W394" s="73"/>
      <c r="X394" s="73"/>
      <c r="Y394" s="73"/>
      <c r="Z394" s="73"/>
      <c r="AA394" s="73"/>
      <c r="AB394" s="74">
        <v>4</v>
      </c>
      <c r="AC394" s="75"/>
      <c r="AD394" s="74"/>
      <c r="AE394" s="75"/>
      <c r="AF394" s="5"/>
      <c r="AG394" s="8"/>
      <c r="AH394" s="8"/>
      <c r="AI394" s="8"/>
      <c r="AJ394" s="8">
        <v>5</v>
      </c>
      <c r="AK394" s="8"/>
      <c r="AL394" s="8"/>
      <c r="AM394" s="8"/>
      <c r="AN394" s="8"/>
      <c r="AO394" s="76">
        <v>-73.063313587999971</v>
      </c>
      <c r="AP394" s="77">
        <v>6.7975351860000606</v>
      </c>
      <c r="AQ394" s="13"/>
      <c r="AR394" s="64">
        <f t="shared" si="62"/>
        <v>0.5560385185185186</v>
      </c>
      <c r="AS394" s="14">
        <f t="shared" si="63"/>
        <v>9.9648480021239896E-2</v>
      </c>
    </row>
    <row r="395" spans="1:45" ht="36" customHeight="1" x14ac:dyDescent="0.25">
      <c r="A395" s="117"/>
      <c r="B395" s="118"/>
      <c r="C395" s="1">
        <v>6</v>
      </c>
      <c r="D395" s="70" t="s">
        <v>411</v>
      </c>
      <c r="E395" s="71"/>
      <c r="F395" s="72">
        <v>187</v>
      </c>
      <c r="G395" s="15"/>
      <c r="H395" s="16"/>
      <c r="I395" s="16"/>
      <c r="J395" s="16"/>
      <c r="K395" s="16"/>
      <c r="L395" s="73"/>
      <c r="M395" s="73">
        <v>5</v>
      </c>
      <c r="N395" s="73"/>
      <c r="O395" s="73"/>
      <c r="P395" s="73"/>
      <c r="Q395" s="73"/>
      <c r="R395" s="73"/>
      <c r="S395" s="73"/>
      <c r="T395" s="73"/>
      <c r="U395" s="73"/>
      <c r="V395" s="73">
        <v>25</v>
      </c>
      <c r="W395" s="73"/>
      <c r="X395" s="73"/>
      <c r="Y395" s="73"/>
      <c r="Z395" s="73"/>
      <c r="AA395" s="73"/>
      <c r="AB395" s="74">
        <v>4</v>
      </c>
      <c r="AC395" s="75"/>
      <c r="AD395" s="74"/>
      <c r="AE395" s="75"/>
      <c r="AF395" s="5"/>
      <c r="AG395" s="8"/>
      <c r="AH395" s="8"/>
      <c r="AI395" s="8"/>
      <c r="AJ395" s="8">
        <v>15</v>
      </c>
      <c r="AK395" s="8"/>
      <c r="AL395" s="8"/>
      <c r="AM395" s="8"/>
      <c r="AN395" s="8"/>
      <c r="AO395" s="76">
        <v>-73.061160466999979</v>
      </c>
      <c r="AP395" s="77">
        <v>6.7970006750000493</v>
      </c>
      <c r="AQ395" s="13"/>
      <c r="AR395" s="64">
        <f t="shared" si="62"/>
        <v>3.0060785185185184</v>
      </c>
      <c r="AS395" s="14">
        <f t="shared" si="63"/>
        <v>0.53872374883844409</v>
      </c>
    </row>
    <row r="396" spans="1:45" ht="23.25" customHeight="1" x14ac:dyDescent="0.25">
      <c r="A396" s="79"/>
      <c r="B396" s="2"/>
      <c r="C396" s="113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  <c r="AG396" s="114"/>
      <c r="AH396" s="114"/>
      <c r="AI396" s="114"/>
      <c r="AJ396" s="114"/>
      <c r="AK396" s="114"/>
      <c r="AL396" s="114"/>
      <c r="AM396" s="114"/>
      <c r="AN396" s="114"/>
      <c r="AO396" s="114"/>
      <c r="AP396" s="115"/>
      <c r="AQ396" s="78"/>
      <c r="AR396" s="7">
        <f>SUM(AR390:AR395)</f>
        <v>4.8088250000000006</v>
      </c>
      <c r="AS396" s="81">
        <f>SUM(AS390:AS395)</f>
        <v>0.86179659498207872</v>
      </c>
    </row>
    <row r="397" spans="1:45" ht="37.5" customHeight="1" x14ac:dyDescent="0.25"/>
    <row r="398" spans="1:45" ht="43.5" customHeight="1" x14ac:dyDescent="0.25"/>
    <row r="399" spans="1:45" ht="33.75" customHeight="1" x14ac:dyDescent="0.25">
      <c r="A399" s="126" t="s">
        <v>31</v>
      </c>
      <c r="B399" s="126" t="s">
        <v>32</v>
      </c>
      <c r="C399" s="127" t="s">
        <v>0</v>
      </c>
      <c r="D399" s="128" t="s">
        <v>1</v>
      </c>
      <c r="E399" s="128" t="s">
        <v>2</v>
      </c>
      <c r="F399" s="129" t="s">
        <v>3</v>
      </c>
      <c r="G399" s="116" t="s">
        <v>4</v>
      </c>
      <c r="H399" s="124" t="s">
        <v>5</v>
      </c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  <c r="AA399" s="124"/>
      <c r="AB399" s="116" t="s">
        <v>6</v>
      </c>
      <c r="AC399" s="116" t="s">
        <v>7</v>
      </c>
      <c r="AD399" s="124" t="s">
        <v>8</v>
      </c>
      <c r="AE399" s="124" t="s">
        <v>9</v>
      </c>
      <c r="AF399" s="124"/>
      <c r="AG399" s="124"/>
      <c r="AH399" s="124"/>
      <c r="AI399" s="124"/>
      <c r="AJ399" s="124"/>
      <c r="AK399" s="124"/>
      <c r="AL399" s="124"/>
      <c r="AM399" s="124"/>
      <c r="AN399" s="124" t="s">
        <v>30</v>
      </c>
      <c r="AO399" s="125" t="s">
        <v>10</v>
      </c>
      <c r="AP399" s="125"/>
      <c r="AQ399" s="116" t="s">
        <v>11</v>
      </c>
      <c r="AR399" s="116" t="s">
        <v>12</v>
      </c>
      <c r="AS399" s="116" t="s">
        <v>13</v>
      </c>
    </row>
    <row r="400" spans="1:45" ht="63.75" customHeight="1" x14ac:dyDescent="0.25">
      <c r="A400" s="126"/>
      <c r="B400" s="126"/>
      <c r="C400" s="127"/>
      <c r="D400" s="128"/>
      <c r="E400" s="128"/>
      <c r="F400" s="129"/>
      <c r="G400" s="116"/>
      <c r="H400" s="19" t="s">
        <v>326</v>
      </c>
      <c r="I400" s="19" t="s">
        <v>69</v>
      </c>
      <c r="J400" s="19" t="s">
        <v>327</v>
      </c>
      <c r="K400" s="19" t="s">
        <v>70</v>
      </c>
      <c r="L400" s="19" t="s">
        <v>328</v>
      </c>
      <c r="M400" s="19" t="s">
        <v>71</v>
      </c>
      <c r="N400" s="19" t="s">
        <v>329</v>
      </c>
      <c r="O400" s="19" t="s">
        <v>72</v>
      </c>
      <c r="P400" s="19" t="s">
        <v>73</v>
      </c>
      <c r="Q400" s="19" t="s">
        <v>330</v>
      </c>
      <c r="R400" s="19" t="s">
        <v>331</v>
      </c>
      <c r="S400" s="19" t="s">
        <v>121</v>
      </c>
      <c r="T400" s="19" t="s">
        <v>16</v>
      </c>
      <c r="U400" s="19" t="s">
        <v>332</v>
      </c>
      <c r="V400" s="19" t="s">
        <v>122</v>
      </c>
      <c r="W400" s="19" t="s">
        <v>333</v>
      </c>
      <c r="X400" s="19" t="s">
        <v>170</v>
      </c>
      <c r="Y400" s="19" t="s">
        <v>152</v>
      </c>
      <c r="Z400" s="19" t="s">
        <v>14</v>
      </c>
      <c r="AA400" s="19" t="s">
        <v>334</v>
      </c>
      <c r="AB400" s="116"/>
      <c r="AC400" s="116"/>
      <c r="AD400" s="124"/>
      <c r="AE400" s="19" t="s">
        <v>19</v>
      </c>
      <c r="AF400" s="19" t="s">
        <v>335</v>
      </c>
      <c r="AG400" s="19" t="s">
        <v>336</v>
      </c>
      <c r="AH400" s="19" t="s">
        <v>337</v>
      </c>
      <c r="AI400" s="19" t="s">
        <v>21</v>
      </c>
      <c r="AJ400" s="19" t="s">
        <v>338</v>
      </c>
      <c r="AK400" s="19" t="s">
        <v>192</v>
      </c>
      <c r="AL400" s="19" t="s">
        <v>193</v>
      </c>
      <c r="AM400" s="19" t="s">
        <v>339</v>
      </c>
      <c r="AN400" s="124"/>
      <c r="AO400" s="2" t="s">
        <v>24</v>
      </c>
      <c r="AP400" s="2" t="s">
        <v>23</v>
      </c>
      <c r="AQ400" s="116"/>
      <c r="AR400" s="116"/>
      <c r="AS400" s="116"/>
    </row>
    <row r="401" spans="1:45" ht="26.25" customHeight="1" x14ac:dyDescent="0.25">
      <c r="A401" s="117">
        <v>2</v>
      </c>
      <c r="B401" s="118">
        <v>2</v>
      </c>
      <c r="C401" s="119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1"/>
      <c r="AP401" s="121"/>
      <c r="AQ401" s="34">
        <v>1.3066596354550695</v>
      </c>
      <c r="AR401" s="5"/>
      <c r="AS401" s="6"/>
    </row>
    <row r="402" spans="1:45" ht="27.75" customHeight="1" x14ac:dyDescent="0.25">
      <c r="A402" s="117"/>
      <c r="B402" s="118"/>
      <c r="C402" s="122" t="s">
        <v>475</v>
      </c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  <c r="AA402" s="123"/>
      <c r="AB402" s="123"/>
      <c r="AC402" s="123"/>
      <c r="AD402" s="123"/>
      <c r="AE402" s="123"/>
      <c r="AF402" s="123"/>
      <c r="AG402" s="123"/>
      <c r="AH402" s="123"/>
      <c r="AI402" s="123"/>
      <c r="AJ402" s="123"/>
      <c r="AK402" s="123"/>
      <c r="AL402" s="123"/>
      <c r="AM402" s="123"/>
      <c r="AN402" s="123"/>
      <c r="AO402" s="17"/>
      <c r="AP402" s="18"/>
      <c r="AQ402" s="7"/>
      <c r="AR402" s="8"/>
      <c r="AS402" s="4"/>
    </row>
    <row r="403" spans="1:45" ht="36" customHeight="1" x14ac:dyDescent="0.25">
      <c r="A403" s="117"/>
      <c r="B403" s="118"/>
      <c r="C403" s="1">
        <v>1</v>
      </c>
      <c r="D403" s="70" t="s">
        <v>412</v>
      </c>
      <c r="E403" s="71"/>
      <c r="F403" s="72">
        <v>18</v>
      </c>
      <c r="G403" s="15"/>
      <c r="H403" s="16"/>
      <c r="I403" s="16"/>
      <c r="J403" s="16"/>
      <c r="K403" s="16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4">
        <v>5</v>
      </c>
      <c r="AC403" s="75">
        <v>4</v>
      </c>
      <c r="AD403" s="74"/>
      <c r="AE403" s="75"/>
      <c r="AF403" s="5"/>
      <c r="AG403" s="8"/>
      <c r="AH403" s="8"/>
      <c r="AI403" s="8"/>
      <c r="AJ403" s="8">
        <v>42000</v>
      </c>
      <c r="AK403" s="8"/>
      <c r="AL403" s="8"/>
      <c r="AM403" s="8"/>
      <c r="AN403" s="8"/>
      <c r="AO403" s="76">
        <v>-73.052653438999982</v>
      </c>
      <c r="AP403" s="77">
        <v>6.7987969110000677</v>
      </c>
      <c r="AQ403" s="13"/>
      <c r="AR403" s="64">
        <f t="shared" ref="AR403:AR404" si="64">$H403*0.1+$I403*0.1+$J403*0.1+$K403*0.1+$L403*0.1+$M403*0.1+$N403*0.1+$P403*0.1+$O403*0.1+$Q403*0.1+$R403*0.1+$S403*0.1+$T403*0.1+$U403*0.1+$V403*0.1+$W403*0.1+$X403*0.1+$Y403*0.1+$Z403*0.0001+$AA403*0.1+$AB403*(130/(3600*24))+$AC403*0.001+$AE403*0.0006+$AF403*0.002+$AG403*0.0006+$AH403*0.0002+$AI403*0.0002+$AJ403*0.000004+$AN403*0.0004</f>
        <v>0.17952314814814813</v>
      </c>
      <c r="AS403" s="14">
        <f>AR403/$AQ$401</f>
        <v>0.13739090370356907</v>
      </c>
    </row>
    <row r="404" spans="1:45" ht="36" customHeight="1" x14ac:dyDescent="0.25">
      <c r="A404" s="117"/>
      <c r="B404" s="118"/>
      <c r="C404" s="1">
        <v>2</v>
      </c>
      <c r="D404" s="70" t="s">
        <v>286</v>
      </c>
      <c r="E404" s="71"/>
      <c r="F404" s="72">
        <v>4</v>
      </c>
      <c r="G404" s="15"/>
      <c r="H404" s="16"/>
      <c r="I404" s="16"/>
      <c r="J404" s="16"/>
      <c r="K404" s="16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4">
        <v>4</v>
      </c>
      <c r="AC404" s="75">
        <v>4</v>
      </c>
      <c r="AD404" s="74"/>
      <c r="AE404" s="75"/>
      <c r="AF404" s="5"/>
      <c r="AG404" s="8">
        <v>20</v>
      </c>
      <c r="AH404" s="8"/>
      <c r="AI404" s="8"/>
      <c r="AJ404" s="8"/>
      <c r="AK404" s="8"/>
      <c r="AL404" s="8"/>
      <c r="AM404" s="8"/>
      <c r="AN404" s="8"/>
      <c r="AO404" s="76">
        <v>-73.05788507799997</v>
      </c>
      <c r="AP404" s="77">
        <v>6.8034978590000614</v>
      </c>
      <c r="AQ404" s="13"/>
      <c r="AR404" s="64">
        <f t="shared" si="64"/>
        <v>2.2018518518518517E-2</v>
      </c>
      <c r="AS404" s="14">
        <f>AR404/$AQ$401</f>
        <v>1.6850997705190565E-2</v>
      </c>
    </row>
    <row r="405" spans="1:45" ht="23.25" customHeight="1" x14ac:dyDescent="0.25">
      <c r="A405" s="79"/>
      <c r="B405" s="2"/>
      <c r="C405" s="113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  <c r="AG405" s="114"/>
      <c r="AH405" s="114"/>
      <c r="AI405" s="114"/>
      <c r="AJ405" s="114"/>
      <c r="AK405" s="114"/>
      <c r="AL405" s="114"/>
      <c r="AM405" s="114"/>
      <c r="AN405" s="114"/>
      <c r="AO405" s="114"/>
      <c r="AP405" s="115"/>
      <c r="AQ405" s="78"/>
      <c r="AR405" s="7">
        <f>SUM(AR403:AR404)</f>
        <v>0.20154166666666665</v>
      </c>
      <c r="AS405" s="81">
        <f>SUM(AS403:AS404)</f>
        <v>0.15424190140875965</v>
      </c>
    </row>
    <row r="406" spans="1:45" ht="42" customHeight="1" x14ac:dyDescent="0.25"/>
    <row r="407" spans="1:45" ht="47.25" customHeight="1" x14ac:dyDescent="0.25"/>
    <row r="408" spans="1:45" ht="33.75" customHeight="1" x14ac:dyDescent="0.25">
      <c r="A408" s="126" t="s">
        <v>31</v>
      </c>
      <c r="B408" s="126" t="s">
        <v>32</v>
      </c>
      <c r="C408" s="127" t="s">
        <v>0</v>
      </c>
      <c r="D408" s="128" t="s">
        <v>1</v>
      </c>
      <c r="E408" s="128" t="s">
        <v>2</v>
      </c>
      <c r="F408" s="129" t="s">
        <v>3</v>
      </c>
      <c r="G408" s="116" t="s">
        <v>4</v>
      </c>
      <c r="H408" s="124" t="s">
        <v>494</v>
      </c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  <c r="AA408" s="124"/>
      <c r="AB408" s="116" t="s">
        <v>6</v>
      </c>
      <c r="AC408" s="116" t="s">
        <v>7</v>
      </c>
      <c r="AD408" s="124" t="s">
        <v>8</v>
      </c>
      <c r="AE408" s="124" t="s">
        <v>9</v>
      </c>
      <c r="AF408" s="124"/>
      <c r="AG408" s="124"/>
      <c r="AH408" s="124"/>
      <c r="AI408" s="124"/>
      <c r="AJ408" s="124"/>
      <c r="AK408" s="124"/>
      <c r="AL408" s="124"/>
      <c r="AM408" s="124"/>
      <c r="AN408" s="124" t="s">
        <v>30</v>
      </c>
      <c r="AO408" s="125" t="s">
        <v>10</v>
      </c>
      <c r="AP408" s="125"/>
      <c r="AQ408" s="116" t="s">
        <v>11</v>
      </c>
      <c r="AR408" s="116" t="s">
        <v>12</v>
      </c>
      <c r="AS408" s="116" t="s">
        <v>13</v>
      </c>
    </row>
    <row r="409" spans="1:45" ht="63.75" customHeight="1" x14ac:dyDescent="0.25">
      <c r="A409" s="126"/>
      <c r="B409" s="126"/>
      <c r="C409" s="127"/>
      <c r="D409" s="128"/>
      <c r="E409" s="128"/>
      <c r="F409" s="129"/>
      <c r="G409" s="116"/>
      <c r="H409" s="19" t="s">
        <v>326</v>
      </c>
      <c r="I409" s="19" t="s">
        <v>69</v>
      </c>
      <c r="J409" s="19" t="s">
        <v>327</v>
      </c>
      <c r="K409" s="19" t="s">
        <v>70</v>
      </c>
      <c r="L409" s="19" t="s">
        <v>328</v>
      </c>
      <c r="M409" s="19" t="s">
        <v>71</v>
      </c>
      <c r="N409" s="19" t="s">
        <v>329</v>
      </c>
      <c r="O409" s="19" t="s">
        <v>72</v>
      </c>
      <c r="P409" s="19" t="s">
        <v>73</v>
      </c>
      <c r="Q409" s="19" t="s">
        <v>330</v>
      </c>
      <c r="R409" s="19" t="s">
        <v>331</v>
      </c>
      <c r="S409" s="19" t="s">
        <v>121</v>
      </c>
      <c r="T409" s="19" t="s">
        <v>16</v>
      </c>
      <c r="U409" s="19" t="s">
        <v>332</v>
      </c>
      <c r="V409" s="19" t="s">
        <v>122</v>
      </c>
      <c r="W409" s="19" t="s">
        <v>333</v>
      </c>
      <c r="X409" s="19" t="s">
        <v>170</v>
      </c>
      <c r="Y409" s="19" t="s">
        <v>152</v>
      </c>
      <c r="Z409" s="19" t="s">
        <v>14</v>
      </c>
      <c r="AA409" s="19" t="s">
        <v>334</v>
      </c>
      <c r="AB409" s="116"/>
      <c r="AC409" s="116"/>
      <c r="AD409" s="124"/>
      <c r="AE409" s="19" t="s">
        <v>19</v>
      </c>
      <c r="AF409" s="19" t="s">
        <v>335</v>
      </c>
      <c r="AG409" s="19" t="s">
        <v>336</v>
      </c>
      <c r="AH409" s="19" t="s">
        <v>337</v>
      </c>
      <c r="AI409" s="19" t="s">
        <v>21</v>
      </c>
      <c r="AJ409" s="19" t="s">
        <v>338</v>
      </c>
      <c r="AK409" s="19" t="s">
        <v>192</v>
      </c>
      <c r="AL409" s="19" t="s">
        <v>193</v>
      </c>
      <c r="AM409" s="19" t="s">
        <v>339</v>
      </c>
      <c r="AN409" s="124"/>
      <c r="AO409" s="2" t="s">
        <v>24</v>
      </c>
      <c r="AP409" s="2" t="s">
        <v>23</v>
      </c>
      <c r="AQ409" s="116"/>
      <c r="AR409" s="116"/>
      <c r="AS409" s="116"/>
    </row>
    <row r="410" spans="1:45" ht="26.25" customHeight="1" x14ac:dyDescent="0.25">
      <c r="A410" s="117">
        <v>3</v>
      </c>
      <c r="B410" s="118">
        <v>3</v>
      </c>
      <c r="C410" s="119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1"/>
      <c r="AP410" s="121"/>
      <c r="AQ410" s="34">
        <v>1.6017781463797434</v>
      </c>
      <c r="AR410" s="5"/>
      <c r="AS410" s="6"/>
    </row>
    <row r="411" spans="1:45" ht="27.75" customHeight="1" x14ac:dyDescent="0.25">
      <c r="A411" s="117"/>
      <c r="B411" s="118"/>
      <c r="C411" s="122" t="s">
        <v>476</v>
      </c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  <c r="AA411" s="123"/>
      <c r="AB411" s="123"/>
      <c r="AC411" s="123"/>
      <c r="AD411" s="123"/>
      <c r="AE411" s="123"/>
      <c r="AF411" s="123"/>
      <c r="AG411" s="123"/>
      <c r="AH411" s="123"/>
      <c r="AI411" s="123"/>
      <c r="AJ411" s="123"/>
      <c r="AK411" s="123"/>
      <c r="AL411" s="123"/>
      <c r="AM411" s="123"/>
      <c r="AN411" s="123"/>
      <c r="AO411" s="17"/>
      <c r="AP411" s="18"/>
      <c r="AQ411" s="7"/>
      <c r="AR411" s="8"/>
      <c r="AS411" s="4"/>
    </row>
    <row r="412" spans="1:45" ht="36" customHeight="1" x14ac:dyDescent="0.25">
      <c r="A412" s="117"/>
      <c r="B412" s="118"/>
      <c r="C412" s="1">
        <v>1</v>
      </c>
      <c r="D412" s="70" t="s">
        <v>413</v>
      </c>
      <c r="E412" s="71"/>
      <c r="F412" s="1">
        <v>187</v>
      </c>
      <c r="G412" s="15"/>
      <c r="H412" s="16"/>
      <c r="I412" s="16"/>
      <c r="J412" s="16"/>
      <c r="K412" s="16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>
        <f>(25/2)/2</f>
        <v>6.25</v>
      </c>
      <c r="W412" s="73"/>
      <c r="X412" s="73"/>
      <c r="Y412" s="73"/>
      <c r="Z412" s="73"/>
      <c r="AA412" s="73">
        <f>2.5/2</f>
        <v>1.25</v>
      </c>
      <c r="AB412" s="74">
        <v>4</v>
      </c>
      <c r="AC412" s="75">
        <v>8</v>
      </c>
      <c r="AD412" s="74"/>
      <c r="AE412" s="75"/>
      <c r="AF412" s="5"/>
      <c r="AG412" s="8"/>
      <c r="AH412" s="8"/>
      <c r="AI412" s="8"/>
      <c r="AJ412" s="8">
        <v>30</v>
      </c>
      <c r="AK412" s="8"/>
      <c r="AL412" s="8"/>
      <c r="AM412" s="8"/>
      <c r="AN412" s="8"/>
      <c r="AO412" s="76">
        <v>-73.061255000000003</v>
      </c>
      <c r="AP412" s="76">
        <v>6.7970350000000002</v>
      </c>
      <c r="AQ412" s="13"/>
      <c r="AR412" s="64">
        <f t="shared" ref="AR412" si="65">$H412*0.1+$I412*0.1+$J412*0.1+$K412*0.1+$L412*0.1+$M412*0.1+$N412*0.1+$P412*0.1+$O412*0.1+$Q412*0.1+$R412*0.1+$S412*0.1+$T412*0.1+$U412*0.1+$V412*0.1+$W412*0.1+$X412*0.1+$Y412*0.1+$Z412*0.0001+$AA412*0.1+$AB412*(130/(3600*24))+$AC412*0.001+$AE412*0.0006+$AF412*0.002+$AG412*0.0006+$AH412*0.0002+$AI412*0.0002+$AJ412*0.000004+$AN412*0.0004</f>
        <v>0.76413851851851855</v>
      </c>
      <c r="AS412" s="14">
        <f>AR412/$AQ$410</f>
        <v>0.47705640150328255</v>
      </c>
    </row>
    <row r="413" spans="1:45" ht="36" customHeight="1" x14ac:dyDescent="0.25">
      <c r="A413" s="117"/>
      <c r="B413" s="118"/>
      <c r="C413" s="1">
        <v>2</v>
      </c>
      <c r="D413" s="70" t="s">
        <v>414</v>
      </c>
      <c r="E413" s="71"/>
      <c r="F413" s="1">
        <v>187</v>
      </c>
      <c r="G413" s="15"/>
      <c r="H413" s="16"/>
      <c r="I413" s="16"/>
      <c r="J413" s="16"/>
      <c r="K413" s="16"/>
      <c r="L413" s="73"/>
      <c r="M413" s="73">
        <f>(25/2)/2</f>
        <v>6.25</v>
      </c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4">
        <v>4</v>
      </c>
      <c r="AC413" s="75">
        <v>4</v>
      </c>
      <c r="AD413" s="74"/>
      <c r="AE413" s="75"/>
      <c r="AF413" s="5"/>
      <c r="AG413" s="8"/>
      <c r="AH413" s="8"/>
      <c r="AI413" s="8"/>
      <c r="AJ413" s="8"/>
      <c r="AK413" s="8"/>
      <c r="AL413" s="8"/>
      <c r="AM413" s="8"/>
      <c r="AN413" s="8"/>
      <c r="AO413" s="76">
        <v>-73.062949952999986</v>
      </c>
      <c r="AP413" s="77">
        <v>6.7963308050000251</v>
      </c>
      <c r="AQ413" s="13"/>
      <c r="AR413" s="64">
        <f t="shared" ref="AR413" si="66">$H413*0.1+$I413*0.1+$J413*0.1+$K413*0.1+$L413*0.1+$M413*0.1+$N413*0.1+$P413*0.1+$O413*0.1+$Q413*0.1+$R413*0.1+$S413*0.1+$T413*0.1+$U413*0.1+$V413*0.1+$W413*0.1+$X413*0.1+$Y413*0.1+$Z413*0.0001+$AA413*0.1+$AB413*((130/(3600*24))/0.75)+$AC413*(0.001/0.75)+$AE413*0.0006+$AF413*0.002+$AG413*0.0006+$AH413*0.0002+$AI413*0.0002+$AJ413*0.000004+$AN413*0.0004</f>
        <v>0.63835802469135794</v>
      </c>
      <c r="AS413" s="14">
        <f>AR413/$AQ$410</f>
        <v>0.39853086155167117</v>
      </c>
    </row>
    <row r="414" spans="1:45" ht="23.25" customHeight="1" x14ac:dyDescent="0.25">
      <c r="A414" s="79"/>
      <c r="B414" s="2"/>
      <c r="C414" s="113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  <c r="AB414" s="114"/>
      <c r="AC414" s="114"/>
      <c r="AD414" s="114"/>
      <c r="AE414" s="114"/>
      <c r="AF414" s="114"/>
      <c r="AG414" s="114"/>
      <c r="AH414" s="114"/>
      <c r="AI414" s="114"/>
      <c r="AJ414" s="114"/>
      <c r="AK414" s="114"/>
      <c r="AL414" s="114"/>
      <c r="AM414" s="114"/>
      <c r="AN414" s="114"/>
      <c r="AO414" s="114"/>
      <c r="AP414" s="115"/>
      <c r="AQ414" s="78"/>
      <c r="AR414" s="7">
        <f>SUM(AR412:AR413)</f>
        <v>1.4024965432098764</v>
      </c>
      <c r="AS414" s="51">
        <f>SUM(AS412:AS413)</f>
        <v>0.87558726305495371</v>
      </c>
    </row>
    <row r="415" spans="1:45" ht="40.5" customHeight="1" x14ac:dyDescent="0.25"/>
    <row r="416" spans="1:45" ht="38.25" customHeight="1" x14ac:dyDescent="0.25"/>
    <row r="417" spans="1:45" ht="33.75" customHeight="1" x14ac:dyDescent="0.25">
      <c r="A417" s="126" t="s">
        <v>31</v>
      </c>
      <c r="B417" s="126" t="s">
        <v>32</v>
      </c>
      <c r="C417" s="127" t="s">
        <v>0</v>
      </c>
      <c r="D417" s="128" t="s">
        <v>1</v>
      </c>
      <c r="E417" s="128" t="s">
        <v>2</v>
      </c>
      <c r="F417" s="129" t="s">
        <v>3</v>
      </c>
      <c r="G417" s="116" t="s">
        <v>4</v>
      </c>
      <c r="H417" s="124" t="s">
        <v>5</v>
      </c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  <c r="AA417" s="124"/>
      <c r="AB417" s="116" t="s">
        <v>6</v>
      </c>
      <c r="AC417" s="116" t="s">
        <v>7</v>
      </c>
      <c r="AD417" s="124" t="s">
        <v>8</v>
      </c>
      <c r="AE417" s="124" t="s">
        <v>9</v>
      </c>
      <c r="AF417" s="124"/>
      <c r="AG417" s="124"/>
      <c r="AH417" s="124"/>
      <c r="AI417" s="124"/>
      <c r="AJ417" s="124"/>
      <c r="AK417" s="124"/>
      <c r="AL417" s="124"/>
      <c r="AM417" s="124"/>
      <c r="AN417" s="124" t="s">
        <v>30</v>
      </c>
      <c r="AO417" s="125" t="s">
        <v>10</v>
      </c>
      <c r="AP417" s="125"/>
      <c r="AQ417" s="116" t="s">
        <v>11</v>
      </c>
      <c r="AR417" s="116" t="s">
        <v>12</v>
      </c>
      <c r="AS417" s="116" t="s">
        <v>13</v>
      </c>
    </row>
    <row r="418" spans="1:45" ht="63.75" customHeight="1" x14ac:dyDescent="0.25">
      <c r="A418" s="126"/>
      <c r="B418" s="126"/>
      <c r="C418" s="127"/>
      <c r="D418" s="128"/>
      <c r="E418" s="128"/>
      <c r="F418" s="129"/>
      <c r="G418" s="116"/>
      <c r="H418" s="19" t="s">
        <v>326</v>
      </c>
      <c r="I418" s="19" t="s">
        <v>69</v>
      </c>
      <c r="J418" s="19" t="s">
        <v>327</v>
      </c>
      <c r="K418" s="19" t="s">
        <v>70</v>
      </c>
      <c r="L418" s="19" t="s">
        <v>328</v>
      </c>
      <c r="M418" s="19" t="s">
        <v>71</v>
      </c>
      <c r="N418" s="19" t="s">
        <v>329</v>
      </c>
      <c r="O418" s="19" t="s">
        <v>72</v>
      </c>
      <c r="P418" s="19" t="s">
        <v>73</v>
      </c>
      <c r="Q418" s="19" t="s">
        <v>330</v>
      </c>
      <c r="R418" s="19" t="s">
        <v>331</v>
      </c>
      <c r="S418" s="19" t="s">
        <v>121</v>
      </c>
      <c r="T418" s="19" t="s">
        <v>16</v>
      </c>
      <c r="U418" s="19" t="s">
        <v>332</v>
      </c>
      <c r="V418" s="19" t="s">
        <v>122</v>
      </c>
      <c r="W418" s="19" t="s">
        <v>333</v>
      </c>
      <c r="X418" s="19" t="s">
        <v>170</v>
      </c>
      <c r="Y418" s="19" t="s">
        <v>152</v>
      </c>
      <c r="Z418" s="19" t="s">
        <v>14</v>
      </c>
      <c r="AA418" s="19" t="s">
        <v>334</v>
      </c>
      <c r="AB418" s="116"/>
      <c r="AC418" s="116"/>
      <c r="AD418" s="124"/>
      <c r="AE418" s="19" t="s">
        <v>19</v>
      </c>
      <c r="AF418" s="19" t="s">
        <v>335</v>
      </c>
      <c r="AG418" s="19" t="s">
        <v>336</v>
      </c>
      <c r="AH418" s="19" t="s">
        <v>337</v>
      </c>
      <c r="AI418" s="19" t="s">
        <v>21</v>
      </c>
      <c r="AJ418" s="19" t="s">
        <v>338</v>
      </c>
      <c r="AK418" s="19" t="s">
        <v>192</v>
      </c>
      <c r="AL418" s="19" t="s">
        <v>193</v>
      </c>
      <c r="AM418" s="19" t="s">
        <v>339</v>
      </c>
      <c r="AN418" s="124"/>
      <c r="AO418" s="2" t="s">
        <v>24</v>
      </c>
      <c r="AP418" s="2" t="s">
        <v>23</v>
      </c>
      <c r="AQ418" s="116"/>
      <c r="AR418" s="116"/>
      <c r="AS418" s="116"/>
    </row>
    <row r="419" spans="1:45" ht="26.25" customHeight="1" x14ac:dyDescent="0.25">
      <c r="A419" s="117">
        <v>4</v>
      </c>
      <c r="B419" s="118">
        <v>4</v>
      </c>
      <c r="C419" s="119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1"/>
      <c r="AP419" s="121"/>
      <c r="AQ419" s="34">
        <v>6.7018339394841071</v>
      </c>
      <c r="AR419" s="5"/>
      <c r="AS419" s="6"/>
    </row>
    <row r="420" spans="1:45" ht="27.75" customHeight="1" x14ac:dyDescent="0.25">
      <c r="A420" s="117"/>
      <c r="B420" s="118"/>
      <c r="C420" s="122" t="s">
        <v>477</v>
      </c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3"/>
      <c r="AH420" s="123"/>
      <c r="AI420" s="123"/>
      <c r="AJ420" s="123"/>
      <c r="AK420" s="123"/>
      <c r="AL420" s="123"/>
      <c r="AM420" s="123"/>
      <c r="AN420" s="123"/>
      <c r="AO420" s="17"/>
      <c r="AP420" s="18"/>
      <c r="AQ420" s="7"/>
      <c r="AR420" s="8"/>
      <c r="AS420" s="4"/>
    </row>
    <row r="421" spans="1:45" ht="36" customHeight="1" x14ac:dyDescent="0.25">
      <c r="A421" s="117"/>
      <c r="B421" s="118"/>
      <c r="C421" s="1">
        <v>1</v>
      </c>
      <c r="D421" s="70" t="s">
        <v>415</v>
      </c>
      <c r="E421" s="71"/>
      <c r="F421" s="72"/>
      <c r="G421" s="15"/>
      <c r="H421" s="16"/>
      <c r="I421" s="16"/>
      <c r="J421" s="16"/>
      <c r="K421" s="16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4">
        <v>2081</v>
      </c>
      <c r="AC421" s="75">
        <v>2126</v>
      </c>
      <c r="AD421" s="74"/>
      <c r="AE421" s="75"/>
      <c r="AF421" s="5"/>
      <c r="AG421" s="8"/>
      <c r="AH421" s="8"/>
      <c r="AI421" s="8"/>
      <c r="AJ421" s="8"/>
      <c r="AK421" s="8"/>
      <c r="AL421" s="8"/>
      <c r="AM421" s="8"/>
      <c r="AN421" s="8"/>
      <c r="AO421" s="76">
        <v>-73.070241666999948</v>
      </c>
      <c r="AP421" s="76">
        <v>6.7971916670000496</v>
      </c>
      <c r="AQ421" s="13"/>
      <c r="AR421" s="64">
        <f>$H421*0.1+$I421*0.1+$J421*0.1+$K421*0.1+$L421*0.1+$M421*0.1+$N421*0.1+$P421*0.1+$O421*0.1+$Q421*0.1+$R421*0.1+$S421*0.1+$T421*0.1+$U421*0.1+$V421*0.1+$W421*0.1+$X421*0.1+$Y421*0.1+$Z421*0.0001+$AA421*0.1+$AB421*((130/(3600*24))/0.8)+$AC421*(0.001/0.8)+$AE421*0.0006+$AF421*0.002+$AG421*0.0006+$AH421*0.0002+$AI421*0.0002+$AJ421*0.000004+$AN421*0.0004</f>
        <v>6.5714178240740742</v>
      </c>
      <c r="AS421" s="14">
        <f>AR421/$AQ$419</f>
        <v>0.98054023471968155</v>
      </c>
    </row>
    <row r="422" spans="1:45" ht="36" customHeight="1" x14ac:dyDescent="0.25">
      <c r="A422" s="117"/>
      <c r="B422" s="118"/>
      <c r="C422" s="1">
        <v>2</v>
      </c>
      <c r="D422" s="70" t="s">
        <v>416</v>
      </c>
      <c r="E422" s="71"/>
      <c r="F422" s="72">
        <v>3.07</v>
      </c>
      <c r="G422" s="15"/>
      <c r="H422" s="16"/>
      <c r="I422" s="16"/>
      <c r="J422" s="16"/>
      <c r="K422" s="16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4">
        <v>7</v>
      </c>
      <c r="AC422" s="75">
        <v>4</v>
      </c>
      <c r="AD422" s="74"/>
      <c r="AE422" s="75"/>
      <c r="AF422" s="5"/>
      <c r="AG422" s="8"/>
      <c r="AH422" s="8"/>
      <c r="AI422" s="8"/>
      <c r="AJ422" s="8"/>
      <c r="AK422" s="8"/>
      <c r="AL422" s="8"/>
      <c r="AM422" s="8"/>
      <c r="AN422" s="8"/>
      <c r="AO422" s="76">
        <v>-73.071020125999951</v>
      </c>
      <c r="AP422" s="77">
        <v>6.8014536570000246</v>
      </c>
      <c r="AQ422" s="13"/>
      <c r="AR422" s="64">
        <f t="shared" ref="AR422:AR429" si="67">$H422*0.1+$I422*0.1+$J422*0.1+$K422*0.1+$L422*0.1+$M422*0.1+$N422*0.1+$P422*0.1+$O422*0.1+$Q422*0.1+$R422*0.1+$S422*0.1+$T422*0.1+$U422*0.1+$V422*0.1+$W422*0.1+$X422*0.1+$Y422*0.1+$Z422*0.0001+$AA422*0.1+$AB422*(130/(3600*24))+$AC422*0.001+$AE422*0.0006+$AF422*0.002+$AG422*0.0006+$AH422*0.0002+$AI422*0.0002+$AJ422*0.000004+$AN422*0.0004</f>
        <v>1.4532407407407407E-2</v>
      </c>
      <c r="AS422" s="14">
        <f t="shared" ref="AS422:AS429" si="68">AR422/$AQ$419</f>
        <v>2.1684224853422856E-3</v>
      </c>
    </row>
    <row r="423" spans="1:45" ht="36" customHeight="1" x14ac:dyDescent="0.25">
      <c r="A423" s="117"/>
      <c r="B423" s="118"/>
      <c r="C423" s="1">
        <v>3</v>
      </c>
      <c r="D423" s="70" t="s">
        <v>417</v>
      </c>
      <c r="E423" s="71"/>
      <c r="F423" s="72">
        <v>187</v>
      </c>
      <c r="G423" s="15"/>
      <c r="H423" s="16"/>
      <c r="I423" s="16"/>
      <c r="J423" s="16"/>
      <c r="K423" s="16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4">
        <v>5</v>
      </c>
      <c r="AC423" s="75">
        <v>3</v>
      </c>
      <c r="AD423" s="74"/>
      <c r="AE423" s="75"/>
      <c r="AF423" s="5"/>
      <c r="AG423" s="8"/>
      <c r="AH423" s="8"/>
      <c r="AI423" s="8"/>
      <c r="AJ423" s="8"/>
      <c r="AK423" s="8"/>
      <c r="AL423" s="8"/>
      <c r="AM423" s="8"/>
      <c r="AN423" s="8"/>
      <c r="AO423" s="76">
        <v>-73.064468899999952</v>
      </c>
      <c r="AP423" s="77">
        <v>6.7984174900000767</v>
      </c>
      <c r="AQ423" s="13"/>
      <c r="AR423" s="64">
        <f t="shared" si="67"/>
        <v>1.052314814814815E-2</v>
      </c>
      <c r="AS423" s="14">
        <f t="shared" si="68"/>
        <v>1.5701893307368637E-3</v>
      </c>
    </row>
    <row r="424" spans="1:45" ht="36" customHeight="1" x14ac:dyDescent="0.25">
      <c r="A424" s="117"/>
      <c r="B424" s="118"/>
      <c r="C424" s="1">
        <v>4</v>
      </c>
      <c r="D424" s="70" t="s">
        <v>418</v>
      </c>
      <c r="E424" s="71"/>
      <c r="F424" s="72">
        <v>99</v>
      </c>
      <c r="G424" s="15"/>
      <c r="H424" s="16"/>
      <c r="I424" s="16"/>
      <c r="J424" s="16"/>
      <c r="K424" s="16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4">
        <v>6</v>
      </c>
      <c r="AC424" s="75">
        <v>10</v>
      </c>
      <c r="AD424" s="74"/>
      <c r="AE424" s="75"/>
      <c r="AF424" s="5"/>
      <c r="AG424" s="8"/>
      <c r="AH424" s="8"/>
      <c r="AI424" s="8"/>
      <c r="AJ424" s="8"/>
      <c r="AK424" s="8"/>
      <c r="AL424" s="8"/>
      <c r="AM424" s="8"/>
      <c r="AN424" s="8"/>
      <c r="AO424" s="76">
        <v>-73.090515449999941</v>
      </c>
      <c r="AP424" s="77">
        <v>6.8120193100000392</v>
      </c>
      <c r="AQ424" s="13"/>
      <c r="AR424" s="64">
        <f t="shared" si="67"/>
        <v>1.9027777777777775E-2</v>
      </c>
      <c r="AS424" s="14">
        <f t="shared" si="68"/>
        <v>2.8391896829425907E-3</v>
      </c>
    </row>
    <row r="425" spans="1:45" ht="36" customHeight="1" x14ac:dyDescent="0.25">
      <c r="A425" s="117"/>
      <c r="B425" s="118"/>
      <c r="C425" s="1">
        <v>5</v>
      </c>
      <c r="D425" s="70" t="s">
        <v>413</v>
      </c>
      <c r="E425" s="71"/>
      <c r="F425" s="72">
        <v>187</v>
      </c>
      <c r="G425" s="15"/>
      <c r="H425" s="16"/>
      <c r="I425" s="16"/>
      <c r="J425" s="16"/>
      <c r="K425" s="16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4">
        <v>4</v>
      </c>
      <c r="AC425" s="75">
        <v>8</v>
      </c>
      <c r="AD425" s="74"/>
      <c r="AE425" s="75"/>
      <c r="AF425" s="5"/>
      <c r="AG425" s="8"/>
      <c r="AH425" s="8"/>
      <c r="AI425" s="8"/>
      <c r="AJ425" s="8"/>
      <c r="AK425" s="8"/>
      <c r="AL425" s="8"/>
      <c r="AM425" s="8"/>
      <c r="AN425" s="8"/>
      <c r="AO425" s="76">
        <v>-73.061265000000006</v>
      </c>
      <c r="AP425" s="77">
        <v>6.7969540000000004</v>
      </c>
      <c r="AQ425" s="13"/>
      <c r="AR425" s="64">
        <f t="shared" si="67"/>
        <v>1.4018518518518519E-2</v>
      </c>
      <c r="AS425" s="14">
        <f t="shared" si="68"/>
        <v>2.0917436398905512E-3</v>
      </c>
    </row>
    <row r="426" spans="1:45" s="96" customFormat="1" ht="36" customHeight="1" x14ac:dyDescent="0.25">
      <c r="A426" s="117"/>
      <c r="B426" s="118"/>
      <c r="C426" s="82">
        <v>6</v>
      </c>
      <c r="D426" s="83" t="s">
        <v>413</v>
      </c>
      <c r="E426" s="84"/>
      <c r="F426" s="85">
        <v>187</v>
      </c>
      <c r="G426" s="86"/>
      <c r="H426" s="87"/>
      <c r="I426" s="87"/>
      <c r="J426" s="87"/>
      <c r="K426" s="87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9"/>
      <c r="AC426" s="90">
        <v>8</v>
      </c>
      <c r="AD426" s="89"/>
      <c r="AE426" s="90"/>
      <c r="AF426" s="91"/>
      <c r="AG426" s="92"/>
      <c r="AH426" s="92"/>
      <c r="AI426" s="92"/>
      <c r="AJ426" s="92"/>
      <c r="AK426" s="92"/>
      <c r="AL426" s="92"/>
      <c r="AM426" s="92"/>
      <c r="AN426" s="92"/>
      <c r="AO426" s="93">
        <v>-73.067408</v>
      </c>
      <c r="AP426" s="94">
        <v>6.7950650000000001</v>
      </c>
      <c r="AQ426" s="95"/>
      <c r="AR426" s="64">
        <f t="shared" si="67"/>
        <v>8.0000000000000002E-3</v>
      </c>
      <c r="AS426" s="14">
        <f t="shared" si="68"/>
        <v>1.1937031075729433E-3</v>
      </c>
    </row>
    <row r="427" spans="1:45" ht="36" customHeight="1" x14ac:dyDescent="0.25">
      <c r="A427" s="117"/>
      <c r="B427" s="118"/>
      <c r="C427" s="1">
        <v>7</v>
      </c>
      <c r="D427" s="70" t="s">
        <v>419</v>
      </c>
      <c r="E427" s="71"/>
      <c r="F427" s="72"/>
      <c r="G427" s="15"/>
      <c r="H427" s="16"/>
      <c r="I427" s="16"/>
      <c r="J427" s="16"/>
      <c r="K427" s="16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4">
        <v>6</v>
      </c>
      <c r="AC427" s="75">
        <v>5</v>
      </c>
      <c r="AD427" s="74"/>
      <c r="AE427" s="75"/>
      <c r="AF427" s="5"/>
      <c r="AG427" s="8"/>
      <c r="AH427" s="8"/>
      <c r="AI427" s="8"/>
      <c r="AJ427" s="8"/>
      <c r="AK427" s="8"/>
      <c r="AL427" s="8"/>
      <c r="AM427" s="8"/>
      <c r="AN427" s="8"/>
      <c r="AO427" s="76">
        <v>-73.071319689999939</v>
      </c>
      <c r="AP427" s="77">
        <v>6.8169286200000556</v>
      </c>
      <c r="AQ427" s="13"/>
      <c r="AR427" s="64">
        <f t="shared" si="67"/>
        <v>1.4027777777777778E-2</v>
      </c>
      <c r="AS427" s="14">
        <f t="shared" si="68"/>
        <v>2.0931252407095013E-3</v>
      </c>
    </row>
    <row r="428" spans="1:45" ht="36" customHeight="1" x14ac:dyDescent="0.25">
      <c r="A428" s="117"/>
      <c r="B428" s="118"/>
      <c r="C428" s="1">
        <v>8</v>
      </c>
      <c r="D428" s="70" t="s">
        <v>420</v>
      </c>
      <c r="E428" s="71"/>
      <c r="F428" s="72">
        <v>3.5</v>
      </c>
      <c r="G428" s="15"/>
      <c r="H428" s="16"/>
      <c r="I428" s="16"/>
      <c r="J428" s="16"/>
      <c r="K428" s="16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4">
        <v>4</v>
      </c>
      <c r="AC428" s="75"/>
      <c r="AD428" s="74"/>
      <c r="AE428" s="75"/>
      <c r="AF428" s="5"/>
      <c r="AG428" s="8"/>
      <c r="AH428" s="8"/>
      <c r="AI428" s="8"/>
      <c r="AJ428" s="8"/>
      <c r="AK428" s="8"/>
      <c r="AL428" s="8"/>
      <c r="AM428" s="8"/>
      <c r="AN428" s="8"/>
      <c r="AO428" s="76">
        <v>-73.068973190999941</v>
      </c>
      <c r="AP428" s="77">
        <v>6.800153612000031</v>
      </c>
      <c r="AQ428" s="13"/>
      <c r="AR428" s="64">
        <f t="shared" si="67"/>
        <v>6.0185185185185185E-3</v>
      </c>
      <c r="AS428" s="14">
        <f t="shared" si="68"/>
        <v>8.9804053231760787E-4</v>
      </c>
    </row>
    <row r="429" spans="1:45" ht="36" customHeight="1" x14ac:dyDescent="0.25">
      <c r="A429" s="117"/>
      <c r="B429" s="118"/>
      <c r="C429" s="1">
        <v>9</v>
      </c>
      <c r="D429" s="70" t="s">
        <v>421</v>
      </c>
      <c r="E429" s="71"/>
      <c r="F429" s="72">
        <v>1</v>
      </c>
      <c r="G429" s="15"/>
      <c r="H429" s="16"/>
      <c r="I429" s="16"/>
      <c r="J429" s="16"/>
      <c r="K429" s="16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4">
        <v>7</v>
      </c>
      <c r="AC429" s="75">
        <v>4</v>
      </c>
      <c r="AD429" s="74"/>
      <c r="AE429" s="75"/>
      <c r="AF429" s="5"/>
      <c r="AG429" s="8"/>
      <c r="AH429" s="8"/>
      <c r="AI429" s="8"/>
      <c r="AJ429" s="8"/>
      <c r="AK429" s="8"/>
      <c r="AL429" s="8"/>
      <c r="AM429" s="8"/>
      <c r="AN429" s="8"/>
      <c r="AO429" s="76">
        <v>-73.067942665999965</v>
      </c>
      <c r="AP429" s="77">
        <v>6.8005765410000549</v>
      </c>
      <c r="AQ429" s="13"/>
      <c r="AR429" s="64">
        <f t="shared" si="67"/>
        <v>1.4532407407407407E-2</v>
      </c>
      <c r="AS429" s="14">
        <f t="shared" si="68"/>
        <v>2.1684224853422856E-3</v>
      </c>
    </row>
    <row r="430" spans="1:45" ht="23.25" customHeight="1" x14ac:dyDescent="0.25">
      <c r="A430" s="79"/>
      <c r="B430" s="2"/>
      <c r="C430" s="113"/>
      <c r="D430" s="114"/>
      <c r="E430" s="114"/>
      <c r="F430" s="114"/>
      <c r="G430" s="114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  <c r="AA430" s="114"/>
      <c r="AB430" s="114"/>
      <c r="AC430" s="114"/>
      <c r="AD430" s="114"/>
      <c r="AE430" s="114"/>
      <c r="AF430" s="114"/>
      <c r="AG430" s="114"/>
      <c r="AH430" s="114"/>
      <c r="AI430" s="114"/>
      <c r="AJ430" s="114"/>
      <c r="AK430" s="114"/>
      <c r="AL430" s="114"/>
      <c r="AM430" s="114"/>
      <c r="AN430" s="114"/>
      <c r="AO430" s="114"/>
      <c r="AP430" s="115"/>
      <c r="AQ430" s="78"/>
      <c r="AR430" s="98">
        <f>SUM(AR421:AR429)</f>
        <v>6.67209837962963</v>
      </c>
      <c r="AS430" s="51">
        <f>SUM(AS421:AS429)</f>
        <v>0.99556307122453613</v>
      </c>
    </row>
    <row r="431" spans="1:45" ht="33" customHeight="1" x14ac:dyDescent="0.25"/>
    <row r="432" spans="1:45" ht="39.75" customHeight="1" x14ac:dyDescent="0.25">
      <c r="AC432" s="75">
        <v>2126</v>
      </c>
      <c r="AO432" s="33"/>
    </row>
    <row r="433" spans="1:45" ht="41.25" customHeight="1" x14ac:dyDescent="0.25"/>
    <row r="434" spans="1:45" ht="33.75" customHeight="1" x14ac:dyDescent="0.25">
      <c r="A434" s="126" t="s">
        <v>31</v>
      </c>
      <c r="B434" s="126" t="s">
        <v>32</v>
      </c>
      <c r="C434" s="127" t="s">
        <v>0</v>
      </c>
      <c r="D434" s="128" t="s">
        <v>1</v>
      </c>
      <c r="E434" s="128" t="s">
        <v>2</v>
      </c>
      <c r="F434" s="129" t="s">
        <v>3</v>
      </c>
      <c r="G434" s="116" t="s">
        <v>4</v>
      </c>
      <c r="H434" s="124" t="s">
        <v>5</v>
      </c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  <c r="AA434" s="124"/>
      <c r="AB434" s="116" t="s">
        <v>6</v>
      </c>
      <c r="AC434" s="116" t="s">
        <v>7</v>
      </c>
      <c r="AD434" s="124" t="s">
        <v>8</v>
      </c>
      <c r="AE434" s="124" t="s">
        <v>9</v>
      </c>
      <c r="AF434" s="124"/>
      <c r="AG434" s="124"/>
      <c r="AH434" s="124"/>
      <c r="AI434" s="124"/>
      <c r="AJ434" s="124"/>
      <c r="AK434" s="124"/>
      <c r="AL434" s="124"/>
      <c r="AM434" s="124"/>
      <c r="AN434" s="124" t="s">
        <v>30</v>
      </c>
      <c r="AO434" s="125" t="s">
        <v>10</v>
      </c>
      <c r="AP434" s="125"/>
      <c r="AQ434" s="116" t="s">
        <v>11</v>
      </c>
      <c r="AR434" s="116" t="s">
        <v>12</v>
      </c>
      <c r="AS434" s="116" t="s">
        <v>13</v>
      </c>
    </row>
    <row r="435" spans="1:45" ht="63.75" customHeight="1" x14ac:dyDescent="0.25">
      <c r="A435" s="126"/>
      <c r="B435" s="126"/>
      <c r="C435" s="127"/>
      <c r="D435" s="128"/>
      <c r="E435" s="128"/>
      <c r="F435" s="129"/>
      <c r="G435" s="116"/>
      <c r="H435" s="19" t="s">
        <v>326</v>
      </c>
      <c r="I435" s="19" t="s">
        <v>69</v>
      </c>
      <c r="J435" s="19" t="s">
        <v>327</v>
      </c>
      <c r="K435" s="19" t="s">
        <v>70</v>
      </c>
      <c r="L435" s="19" t="s">
        <v>328</v>
      </c>
      <c r="M435" s="19" t="s">
        <v>71</v>
      </c>
      <c r="N435" s="19" t="s">
        <v>329</v>
      </c>
      <c r="O435" s="19" t="s">
        <v>72</v>
      </c>
      <c r="P435" s="19" t="s">
        <v>73</v>
      </c>
      <c r="Q435" s="19" t="s">
        <v>330</v>
      </c>
      <c r="R435" s="19" t="s">
        <v>331</v>
      </c>
      <c r="S435" s="19" t="s">
        <v>121</v>
      </c>
      <c r="T435" s="19" t="s">
        <v>16</v>
      </c>
      <c r="U435" s="19" t="s">
        <v>332</v>
      </c>
      <c r="V435" s="19" t="s">
        <v>122</v>
      </c>
      <c r="W435" s="19" t="s">
        <v>333</v>
      </c>
      <c r="X435" s="19" t="s">
        <v>170</v>
      </c>
      <c r="Y435" s="19" t="s">
        <v>152</v>
      </c>
      <c r="Z435" s="19" t="s">
        <v>14</v>
      </c>
      <c r="AA435" s="19" t="s">
        <v>334</v>
      </c>
      <c r="AB435" s="116"/>
      <c r="AC435" s="116"/>
      <c r="AD435" s="124"/>
      <c r="AE435" s="19" t="s">
        <v>19</v>
      </c>
      <c r="AF435" s="19" t="s">
        <v>335</v>
      </c>
      <c r="AG435" s="19" t="s">
        <v>336</v>
      </c>
      <c r="AH435" s="19" t="s">
        <v>337</v>
      </c>
      <c r="AI435" s="19" t="s">
        <v>21</v>
      </c>
      <c r="AJ435" s="19" t="s">
        <v>338</v>
      </c>
      <c r="AK435" s="19" t="s">
        <v>192</v>
      </c>
      <c r="AL435" s="19" t="s">
        <v>193</v>
      </c>
      <c r="AM435" s="19" t="s">
        <v>339</v>
      </c>
      <c r="AN435" s="124"/>
      <c r="AO435" s="2" t="s">
        <v>24</v>
      </c>
      <c r="AP435" s="2" t="s">
        <v>23</v>
      </c>
      <c r="AQ435" s="116"/>
      <c r="AR435" s="116"/>
      <c r="AS435" s="116"/>
    </row>
    <row r="436" spans="1:45" ht="26.25" customHeight="1" x14ac:dyDescent="0.25">
      <c r="A436" s="117">
        <v>1</v>
      </c>
      <c r="B436" s="118">
        <v>1</v>
      </c>
      <c r="C436" s="130" t="s">
        <v>490</v>
      </c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  <c r="AB436" s="131"/>
      <c r="AC436" s="131"/>
      <c r="AD436" s="131"/>
      <c r="AE436" s="131"/>
      <c r="AF436" s="131"/>
      <c r="AG436" s="131"/>
      <c r="AH436" s="131"/>
      <c r="AI436" s="131"/>
      <c r="AJ436" s="131"/>
      <c r="AK436" s="131"/>
      <c r="AL436" s="131"/>
      <c r="AM436" s="131"/>
      <c r="AN436" s="131"/>
      <c r="AO436" s="132"/>
      <c r="AP436" s="132"/>
      <c r="AQ436" s="34">
        <v>3.1868937023492294</v>
      </c>
      <c r="AR436" s="5"/>
      <c r="AS436" s="6"/>
    </row>
    <row r="437" spans="1:45" ht="27.75" customHeight="1" x14ac:dyDescent="0.25">
      <c r="A437" s="117"/>
      <c r="B437" s="118"/>
      <c r="C437" s="122" t="s">
        <v>478</v>
      </c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  <c r="AA437" s="123"/>
      <c r="AB437" s="123"/>
      <c r="AC437" s="123"/>
      <c r="AD437" s="123"/>
      <c r="AE437" s="123"/>
      <c r="AF437" s="123"/>
      <c r="AG437" s="123"/>
      <c r="AH437" s="123"/>
      <c r="AI437" s="123"/>
      <c r="AJ437" s="123"/>
      <c r="AK437" s="123"/>
      <c r="AL437" s="123"/>
      <c r="AM437" s="123"/>
      <c r="AN437" s="123"/>
      <c r="AO437" s="17"/>
      <c r="AP437" s="18"/>
      <c r="AQ437" s="7"/>
      <c r="AR437" s="8"/>
      <c r="AS437" s="4"/>
    </row>
    <row r="438" spans="1:45" ht="36" customHeight="1" x14ac:dyDescent="0.25">
      <c r="A438" s="117"/>
      <c r="B438" s="118"/>
      <c r="C438" s="1">
        <v>1</v>
      </c>
      <c r="D438" s="70" t="s">
        <v>422</v>
      </c>
      <c r="E438" s="71"/>
      <c r="F438" s="72">
        <v>6</v>
      </c>
      <c r="G438" s="15"/>
      <c r="H438" s="16"/>
      <c r="I438" s="16">
        <v>0.01</v>
      </c>
      <c r="J438" s="16"/>
      <c r="K438" s="16"/>
      <c r="L438" s="73"/>
      <c r="M438" s="73"/>
      <c r="N438" s="73"/>
      <c r="O438" s="73">
        <v>0.1</v>
      </c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4">
        <v>6</v>
      </c>
      <c r="AC438" s="75">
        <v>100</v>
      </c>
      <c r="AD438" s="74"/>
      <c r="AE438" s="75">
        <v>20</v>
      </c>
      <c r="AF438" s="5">
        <v>60</v>
      </c>
      <c r="AG438" s="8">
        <v>5</v>
      </c>
      <c r="AH438" s="8">
        <v>22</v>
      </c>
      <c r="AI438" s="8"/>
      <c r="AJ438" s="8">
        <v>200</v>
      </c>
      <c r="AK438" s="8">
        <v>40</v>
      </c>
      <c r="AL438" s="8">
        <v>20</v>
      </c>
      <c r="AM438" s="8"/>
      <c r="AN438" s="8">
        <v>1200</v>
      </c>
      <c r="AO438" s="76">
        <v>-73.055077969999957</v>
      </c>
      <c r="AP438" s="76">
        <v>6.8085298940000598</v>
      </c>
      <c r="AQ438" s="13"/>
      <c r="AR438" s="64">
        <f t="shared" ref="AR438:AR440" si="69">$H438*0.1+$I438*0.1+$J438*0.1+$K438*0.1+$L438*0.1+$M438*0.1+$N438*0.1+$P438*0.1+$O438*0.1+$Q438*0.1+$R438*0.1+$S438*0.1+$T438*0.1+$U438*0.1+$V438*0.1+$W438*0.1+$X438*0.1+$Y438*0.1+$Z438*0.0001+$AA438*0.1+$AB438*(130/(3600*24))+$AC438*0.001+$AE438*0.0006+$AF438*0.002+$AG438*0.0006+$AH438*0.0002+$AI438*0.0002+$AJ438*0.000004+$AN438*0.0004</f>
        <v>0.74022777777777793</v>
      </c>
      <c r="AS438" s="14">
        <f>AR438/$AQ$436</f>
        <v>0.23227250323163165</v>
      </c>
    </row>
    <row r="439" spans="1:45" ht="36" customHeight="1" x14ac:dyDescent="0.25">
      <c r="A439" s="117"/>
      <c r="B439" s="118"/>
      <c r="C439" s="1">
        <v>2</v>
      </c>
      <c r="D439" s="70" t="s">
        <v>423</v>
      </c>
      <c r="E439" s="71"/>
      <c r="F439" s="72">
        <v>2</v>
      </c>
      <c r="G439" s="15"/>
      <c r="H439" s="16"/>
      <c r="I439" s="16"/>
      <c r="J439" s="16"/>
      <c r="K439" s="16"/>
      <c r="L439" s="73"/>
      <c r="M439" s="73">
        <v>1</v>
      </c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4">
        <v>3</v>
      </c>
      <c r="AC439" s="75">
        <v>10</v>
      </c>
      <c r="AD439" s="74"/>
      <c r="AE439" s="75"/>
      <c r="AF439" s="5"/>
      <c r="AG439" s="8"/>
      <c r="AH439" s="8"/>
      <c r="AI439" s="8"/>
      <c r="AJ439" s="8"/>
      <c r="AK439" s="8"/>
      <c r="AL439" s="8"/>
      <c r="AM439" s="8"/>
      <c r="AN439" s="8"/>
      <c r="AO439" s="76">
        <v>-73.056616000000005</v>
      </c>
      <c r="AP439" s="77">
        <v>6.8053280000000003</v>
      </c>
      <c r="AQ439" s="13"/>
      <c r="AR439" s="64">
        <f t="shared" si="69"/>
        <v>0.11451388888888889</v>
      </c>
      <c r="AS439" s="14">
        <f t="shared" ref="AS439:AS440" si="70">AR439/$AQ$436</f>
        <v>3.5932760733272839E-2</v>
      </c>
    </row>
    <row r="440" spans="1:45" ht="36" customHeight="1" x14ac:dyDescent="0.25">
      <c r="A440" s="117"/>
      <c r="B440" s="118"/>
      <c r="C440" s="1">
        <v>3</v>
      </c>
      <c r="D440" s="70" t="s">
        <v>423</v>
      </c>
      <c r="E440" s="71"/>
      <c r="F440" s="72">
        <v>2</v>
      </c>
      <c r="G440" s="15"/>
      <c r="H440" s="16"/>
      <c r="I440" s="16"/>
      <c r="J440" s="16"/>
      <c r="K440" s="16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4">
        <v>5</v>
      </c>
      <c r="AC440" s="75">
        <v>5</v>
      </c>
      <c r="AD440" s="74"/>
      <c r="AE440" s="75"/>
      <c r="AF440" s="5"/>
      <c r="AG440" s="8"/>
      <c r="AH440" s="8"/>
      <c r="AI440" s="8"/>
      <c r="AJ440" s="8"/>
      <c r="AK440" s="8"/>
      <c r="AL440" s="8"/>
      <c r="AM440" s="8"/>
      <c r="AN440" s="8"/>
      <c r="AO440" s="76">
        <v>-73.055980000000005</v>
      </c>
      <c r="AP440" s="77">
        <v>6.8060390000000002</v>
      </c>
      <c r="AQ440" s="13"/>
      <c r="AR440" s="64">
        <f t="shared" si="69"/>
        <v>1.2523148148148148E-2</v>
      </c>
      <c r="AS440" s="14">
        <f t="shared" si="70"/>
        <v>3.9295782406914507E-3</v>
      </c>
    </row>
    <row r="441" spans="1:45" ht="23.25" customHeight="1" x14ac:dyDescent="0.25">
      <c r="A441" s="79"/>
      <c r="B441" s="2"/>
      <c r="C441" s="113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  <c r="AA441" s="114"/>
      <c r="AB441" s="114"/>
      <c r="AC441" s="114"/>
      <c r="AD441" s="114"/>
      <c r="AE441" s="114"/>
      <c r="AF441" s="114"/>
      <c r="AG441" s="114"/>
      <c r="AH441" s="114"/>
      <c r="AI441" s="114"/>
      <c r="AJ441" s="114"/>
      <c r="AK441" s="114"/>
      <c r="AL441" s="114"/>
      <c r="AM441" s="114"/>
      <c r="AN441" s="114"/>
      <c r="AO441" s="114"/>
      <c r="AP441" s="115"/>
      <c r="AQ441" s="78"/>
      <c r="AR441" s="7">
        <f>SUM(AR438:AR440)</f>
        <v>0.86726481481481499</v>
      </c>
      <c r="AS441" s="81">
        <f>SUM(AS438:AS440)</f>
        <v>0.27213484220559597</v>
      </c>
    </row>
    <row r="442" spans="1:45" ht="39.75" customHeight="1" x14ac:dyDescent="0.25"/>
    <row r="443" spans="1:45" ht="48" customHeight="1" x14ac:dyDescent="0.25"/>
    <row r="444" spans="1:45" ht="33.75" customHeight="1" x14ac:dyDescent="0.25">
      <c r="A444" s="126" t="s">
        <v>31</v>
      </c>
      <c r="B444" s="126" t="s">
        <v>32</v>
      </c>
      <c r="C444" s="127" t="s">
        <v>0</v>
      </c>
      <c r="D444" s="128" t="s">
        <v>1</v>
      </c>
      <c r="E444" s="128" t="s">
        <v>2</v>
      </c>
      <c r="F444" s="129" t="s">
        <v>3</v>
      </c>
      <c r="G444" s="116" t="s">
        <v>4</v>
      </c>
      <c r="H444" s="124" t="s">
        <v>5</v>
      </c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  <c r="AB444" s="116" t="s">
        <v>6</v>
      </c>
      <c r="AC444" s="116" t="s">
        <v>7</v>
      </c>
      <c r="AD444" s="124" t="s">
        <v>8</v>
      </c>
      <c r="AE444" s="124" t="s">
        <v>9</v>
      </c>
      <c r="AF444" s="124"/>
      <c r="AG444" s="124"/>
      <c r="AH444" s="124"/>
      <c r="AI444" s="124"/>
      <c r="AJ444" s="124"/>
      <c r="AK444" s="124"/>
      <c r="AL444" s="124"/>
      <c r="AM444" s="124"/>
      <c r="AN444" s="124" t="s">
        <v>30</v>
      </c>
      <c r="AO444" s="125" t="s">
        <v>10</v>
      </c>
      <c r="AP444" s="125"/>
      <c r="AQ444" s="116" t="s">
        <v>11</v>
      </c>
      <c r="AR444" s="116" t="s">
        <v>12</v>
      </c>
      <c r="AS444" s="116" t="s">
        <v>13</v>
      </c>
    </row>
    <row r="445" spans="1:45" ht="63.75" customHeight="1" x14ac:dyDescent="0.25">
      <c r="A445" s="126"/>
      <c r="B445" s="126"/>
      <c r="C445" s="127"/>
      <c r="D445" s="128"/>
      <c r="E445" s="128"/>
      <c r="F445" s="129"/>
      <c r="G445" s="116"/>
      <c r="H445" s="19" t="s">
        <v>326</v>
      </c>
      <c r="I445" s="19" t="s">
        <v>69</v>
      </c>
      <c r="J445" s="19" t="s">
        <v>327</v>
      </c>
      <c r="K445" s="19" t="s">
        <v>70</v>
      </c>
      <c r="L445" s="19" t="s">
        <v>328</v>
      </c>
      <c r="M445" s="19" t="s">
        <v>71</v>
      </c>
      <c r="N445" s="19" t="s">
        <v>329</v>
      </c>
      <c r="O445" s="19" t="s">
        <v>72</v>
      </c>
      <c r="P445" s="19" t="s">
        <v>73</v>
      </c>
      <c r="Q445" s="19" t="s">
        <v>330</v>
      </c>
      <c r="R445" s="19" t="s">
        <v>331</v>
      </c>
      <c r="S445" s="19" t="s">
        <v>121</v>
      </c>
      <c r="T445" s="19" t="s">
        <v>16</v>
      </c>
      <c r="U445" s="19" t="s">
        <v>332</v>
      </c>
      <c r="V445" s="19" t="s">
        <v>122</v>
      </c>
      <c r="W445" s="19" t="s">
        <v>333</v>
      </c>
      <c r="X445" s="19" t="s">
        <v>170</v>
      </c>
      <c r="Y445" s="19" t="s">
        <v>152</v>
      </c>
      <c r="Z445" s="19" t="s">
        <v>14</v>
      </c>
      <c r="AA445" s="19" t="s">
        <v>334</v>
      </c>
      <c r="AB445" s="116"/>
      <c r="AC445" s="116"/>
      <c r="AD445" s="124"/>
      <c r="AE445" s="19" t="s">
        <v>19</v>
      </c>
      <c r="AF445" s="19" t="s">
        <v>335</v>
      </c>
      <c r="AG445" s="19" t="s">
        <v>336</v>
      </c>
      <c r="AH445" s="19" t="s">
        <v>337</v>
      </c>
      <c r="AI445" s="19" t="s">
        <v>21</v>
      </c>
      <c r="AJ445" s="19" t="s">
        <v>338</v>
      </c>
      <c r="AK445" s="19" t="s">
        <v>192</v>
      </c>
      <c r="AL445" s="19" t="s">
        <v>193</v>
      </c>
      <c r="AM445" s="19" t="s">
        <v>339</v>
      </c>
      <c r="AN445" s="124"/>
      <c r="AO445" s="2" t="s">
        <v>24</v>
      </c>
      <c r="AP445" s="2" t="s">
        <v>23</v>
      </c>
      <c r="AQ445" s="116"/>
      <c r="AR445" s="116"/>
      <c r="AS445" s="116"/>
    </row>
    <row r="446" spans="1:45" ht="26.25" customHeight="1" x14ac:dyDescent="0.25">
      <c r="A446" s="117">
        <v>2</v>
      </c>
      <c r="B446" s="118">
        <v>2</v>
      </c>
      <c r="C446" s="119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1"/>
      <c r="AP446" s="121"/>
      <c r="AQ446" s="34">
        <v>4.1679450073281892</v>
      </c>
      <c r="AR446" s="5"/>
      <c r="AS446" s="6"/>
    </row>
    <row r="447" spans="1:45" ht="27.75" customHeight="1" x14ac:dyDescent="0.25">
      <c r="A447" s="117"/>
      <c r="B447" s="118"/>
      <c r="C447" s="122" t="s">
        <v>479</v>
      </c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  <c r="AA447" s="123"/>
      <c r="AB447" s="123"/>
      <c r="AC447" s="123"/>
      <c r="AD447" s="123"/>
      <c r="AE447" s="123"/>
      <c r="AF447" s="123"/>
      <c r="AG447" s="123"/>
      <c r="AH447" s="123"/>
      <c r="AI447" s="123"/>
      <c r="AJ447" s="123"/>
      <c r="AK447" s="123"/>
      <c r="AL447" s="123"/>
      <c r="AM447" s="123"/>
      <c r="AN447" s="123"/>
      <c r="AO447" s="17"/>
      <c r="AP447" s="18"/>
      <c r="AQ447" s="7"/>
      <c r="AR447" s="8"/>
      <c r="AS447" s="4"/>
    </row>
    <row r="448" spans="1:45" ht="36" customHeight="1" x14ac:dyDescent="0.25">
      <c r="A448" s="117"/>
      <c r="B448" s="118"/>
      <c r="C448" s="1">
        <v>1</v>
      </c>
      <c r="D448" s="70" t="s">
        <v>424</v>
      </c>
      <c r="E448" s="71"/>
      <c r="F448" s="72">
        <v>1.5</v>
      </c>
      <c r="G448" s="15"/>
      <c r="H448" s="16"/>
      <c r="I448" s="16">
        <v>0.6</v>
      </c>
      <c r="J448" s="16"/>
      <c r="K448" s="16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4">
        <v>4</v>
      </c>
      <c r="AC448" s="75">
        <v>6</v>
      </c>
      <c r="AD448" s="74"/>
      <c r="AE448" s="75"/>
      <c r="AF448" s="5"/>
      <c r="AG448" s="8"/>
      <c r="AH448" s="8"/>
      <c r="AI448" s="8"/>
      <c r="AJ448" s="8"/>
      <c r="AK448" s="8"/>
      <c r="AL448" s="8"/>
      <c r="AM448" s="8"/>
      <c r="AN448" s="8"/>
      <c r="AO448" s="76">
        <v>-73.070689290999951</v>
      </c>
      <c r="AP448" s="76">
        <v>6.8059950200000694</v>
      </c>
      <c r="AQ448" s="13"/>
      <c r="AR448" s="64">
        <f t="shared" ref="AR448:AR450" si="71">$H448*0.1+$I448*0.1+$J448*0.1+$K448*0.1+$L448*0.1+$M448*0.1+$N448*0.1+$P448*0.1+$O448*0.1+$Q448*0.1+$R448*0.1+$S448*0.1+$T448*0.1+$U448*0.1+$V448*0.1+$W448*0.1+$X448*0.1+$Y448*0.1+$Z448*0.0001+$AA448*0.1+$AB448*(130/(3600*24))+$AC448*0.001+$AE448*0.0006+$AF448*0.002+$AG448*0.0006+$AH448*0.0002+$AI448*0.0002+$AJ448*0.000004+$AN448*0.0004</f>
        <v>7.2018518518518523E-2</v>
      </c>
      <c r="AS448" s="14">
        <f>AR448/$AQ$446</f>
        <v>1.7279143172929032E-2</v>
      </c>
    </row>
    <row r="449" spans="1:45" ht="36" customHeight="1" x14ac:dyDescent="0.25">
      <c r="A449" s="117"/>
      <c r="B449" s="118"/>
      <c r="C449" s="1">
        <v>2</v>
      </c>
      <c r="D449" s="70" t="s">
        <v>425</v>
      </c>
      <c r="E449" s="71"/>
      <c r="F449" s="72">
        <v>2</v>
      </c>
      <c r="G449" s="15"/>
      <c r="H449" s="16">
        <v>0.5</v>
      </c>
      <c r="I449" s="16"/>
      <c r="J449" s="16"/>
      <c r="K449" s="16"/>
      <c r="L449" s="73"/>
      <c r="M449" s="73"/>
      <c r="N449" s="73"/>
      <c r="O449" s="73"/>
      <c r="P449" s="73"/>
      <c r="Q449" s="73"/>
      <c r="R449" s="73">
        <v>0.5</v>
      </c>
      <c r="S449" s="73"/>
      <c r="T449" s="73"/>
      <c r="U449" s="73"/>
      <c r="V449" s="73"/>
      <c r="W449" s="73"/>
      <c r="X449" s="73"/>
      <c r="Y449" s="73">
        <v>0.5</v>
      </c>
      <c r="Z449" s="73"/>
      <c r="AA449" s="73"/>
      <c r="AB449" s="74">
        <v>6</v>
      </c>
      <c r="AC449" s="75">
        <v>3</v>
      </c>
      <c r="AD449" s="74"/>
      <c r="AE449" s="75"/>
      <c r="AF449" s="5"/>
      <c r="AG449" s="8"/>
      <c r="AH449" s="8"/>
      <c r="AI449" s="8"/>
      <c r="AJ449" s="8">
        <v>50</v>
      </c>
      <c r="AK449" s="8"/>
      <c r="AL449" s="8"/>
      <c r="AM449" s="8"/>
      <c r="AN449" s="8"/>
      <c r="AO449" s="76">
        <v>-73.069881383999984</v>
      </c>
      <c r="AP449" s="77">
        <v>6.8034265790000754</v>
      </c>
      <c r="AQ449" s="13"/>
      <c r="AR449" s="64">
        <f t="shared" si="71"/>
        <v>0.1622277777777778</v>
      </c>
      <c r="AS449" s="14">
        <f t="shared" ref="AS449:AS450" si="72">AR449/$AQ$446</f>
        <v>3.8922725106148165E-2</v>
      </c>
    </row>
    <row r="450" spans="1:45" ht="36" customHeight="1" x14ac:dyDescent="0.25">
      <c r="A450" s="117"/>
      <c r="B450" s="118"/>
      <c r="C450" s="1">
        <v>3</v>
      </c>
      <c r="D450" s="70" t="s">
        <v>426</v>
      </c>
      <c r="E450" s="71"/>
      <c r="F450" s="72">
        <v>1.9693000000000001</v>
      </c>
      <c r="G450" s="15"/>
      <c r="H450" s="16"/>
      <c r="I450" s="16">
        <v>0.01</v>
      </c>
      <c r="J450" s="16"/>
      <c r="K450" s="16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>
        <v>1.5</v>
      </c>
      <c r="W450" s="73"/>
      <c r="X450" s="73"/>
      <c r="Y450" s="73"/>
      <c r="Z450" s="73"/>
      <c r="AA450" s="73"/>
      <c r="AB450" s="74">
        <v>2</v>
      </c>
      <c r="AC450" s="75">
        <v>6</v>
      </c>
      <c r="AD450" s="74"/>
      <c r="AE450" s="75"/>
      <c r="AF450" s="5"/>
      <c r="AG450" s="8"/>
      <c r="AH450" s="8"/>
      <c r="AI450" s="8"/>
      <c r="AJ450" s="8"/>
      <c r="AK450" s="8"/>
      <c r="AL450" s="8"/>
      <c r="AM450" s="8"/>
      <c r="AN450" s="8"/>
      <c r="AO450" s="76">
        <v>-73.067702159999953</v>
      </c>
      <c r="AP450" s="77">
        <v>6.802858962000073</v>
      </c>
      <c r="AQ450" s="13"/>
      <c r="AR450" s="64">
        <f t="shared" si="71"/>
        <v>0.1600092592592593</v>
      </c>
      <c r="AS450" s="14">
        <f t="shared" si="72"/>
        <v>3.8390443966493527E-2</v>
      </c>
    </row>
    <row r="451" spans="1:45" ht="23.25" customHeight="1" x14ac:dyDescent="0.25">
      <c r="A451" s="79"/>
      <c r="B451" s="2"/>
      <c r="C451" s="113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14"/>
      <c r="AH451" s="114"/>
      <c r="AI451" s="114"/>
      <c r="AJ451" s="114"/>
      <c r="AK451" s="114"/>
      <c r="AL451" s="114"/>
      <c r="AM451" s="114"/>
      <c r="AN451" s="114"/>
      <c r="AO451" s="114"/>
      <c r="AP451" s="115"/>
      <c r="AQ451" s="78"/>
      <c r="AR451" s="7">
        <f>SUM(AR448:AR450)</f>
        <v>0.39425555555555564</v>
      </c>
      <c r="AS451" s="81">
        <f>SUM(AS448:AS450)</f>
        <v>9.4592312245570714E-2</v>
      </c>
    </row>
    <row r="452" spans="1:45" ht="30.75" customHeight="1" x14ac:dyDescent="0.25"/>
    <row r="453" spans="1:45" ht="36.75" customHeight="1" x14ac:dyDescent="0.25"/>
    <row r="454" spans="1:45" ht="40.5" customHeight="1" x14ac:dyDescent="0.25"/>
    <row r="455" spans="1:45" ht="33.75" customHeight="1" x14ac:dyDescent="0.25">
      <c r="A455" s="126" t="s">
        <v>31</v>
      </c>
      <c r="B455" s="126" t="s">
        <v>32</v>
      </c>
      <c r="C455" s="127" t="s">
        <v>0</v>
      </c>
      <c r="D455" s="128" t="s">
        <v>1</v>
      </c>
      <c r="E455" s="128" t="s">
        <v>2</v>
      </c>
      <c r="F455" s="129" t="s">
        <v>3</v>
      </c>
      <c r="G455" s="116" t="s">
        <v>4</v>
      </c>
      <c r="H455" s="124" t="s">
        <v>5</v>
      </c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  <c r="AA455" s="124"/>
      <c r="AB455" s="116" t="s">
        <v>6</v>
      </c>
      <c r="AC455" s="116" t="s">
        <v>7</v>
      </c>
      <c r="AD455" s="124" t="s">
        <v>8</v>
      </c>
      <c r="AE455" s="124" t="s">
        <v>9</v>
      </c>
      <c r="AF455" s="124"/>
      <c r="AG455" s="124"/>
      <c r="AH455" s="124"/>
      <c r="AI455" s="124"/>
      <c r="AJ455" s="124"/>
      <c r="AK455" s="124"/>
      <c r="AL455" s="124"/>
      <c r="AM455" s="124"/>
      <c r="AN455" s="124" t="s">
        <v>30</v>
      </c>
      <c r="AO455" s="125" t="s">
        <v>10</v>
      </c>
      <c r="AP455" s="125"/>
      <c r="AQ455" s="116" t="s">
        <v>11</v>
      </c>
      <c r="AR455" s="116" t="s">
        <v>12</v>
      </c>
      <c r="AS455" s="116" t="s">
        <v>13</v>
      </c>
    </row>
    <row r="456" spans="1:45" ht="63.75" customHeight="1" x14ac:dyDescent="0.25">
      <c r="A456" s="126"/>
      <c r="B456" s="126"/>
      <c r="C456" s="127"/>
      <c r="D456" s="128"/>
      <c r="E456" s="128"/>
      <c r="F456" s="129"/>
      <c r="G456" s="116"/>
      <c r="H456" s="19" t="s">
        <v>326</v>
      </c>
      <c r="I456" s="19" t="s">
        <v>69</v>
      </c>
      <c r="J456" s="19" t="s">
        <v>327</v>
      </c>
      <c r="K456" s="19" t="s">
        <v>70</v>
      </c>
      <c r="L456" s="19" t="s">
        <v>328</v>
      </c>
      <c r="M456" s="19" t="s">
        <v>71</v>
      </c>
      <c r="N456" s="19" t="s">
        <v>329</v>
      </c>
      <c r="O456" s="19" t="s">
        <v>72</v>
      </c>
      <c r="P456" s="19" t="s">
        <v>73</v>
      </c>
      <c r="Q456" s="19" t="s">
        <v>330</v>
      </c>
      <c r="R456" s="19" t="s">
        <v>331</v>
      </c>
      <c r="S456" s="19" t="s">
        <v>121</v>
      </c>
      <c r="T456" s="19" t="s">
        <v>16</v>
      </c>
      <c r="U456" s="19" t="s">
        <v>332</v>
      </c>
      <c r="V456" s="19" t="s">
        <v>122</v>
      </c>
      <c r="W456" s="19" t="s">
        <v>333</v>
      </c>
      <c r="X456" s="19" t="s">
        <v>170</v>
      </c>
      <c r="Y456" s="19" t="s">
        <v>152</v>
      </c>
      <c r="Z456" s="19" t="s">
        <v>14</v>
      </c>
      <c r="AA456" s="19" t="s">
        <v>334</v>
      </c>
      <c r="AB456" s="116"/>
      <c r="AC456" s="116"/>
      <c r="AD456" s="124"/>
      <c r="AE456" s="19" t="s">
        <v>19</v>
      </c>
      <c r="AF456" s="19" t="s">
        <v>335</v>
      </c>
      <c r="AG456" s="19" t="s">
        <v>336</v>
      </c>
      <c r="AH456" s="19" t="s">
        <v>337</v>
      </c>
      <c r="AI456" s="19" t="s">
        <v>21</v>
      </c>
      <c r="AJ456" s="19" t="s">
        <v>338</v>
      </c>
      <c r="AK456" s="19" t="s">
        <v>192</v>
      </c>
      <c r="AL456" s="19" t="s">
        <v>193</v>
      </c>
      <c r="AM456" s="19" t="s">
        <v>339</v>
      </c>
      <c r="AN456" s="124"/>
      <c r="AO456" s="2" t="s">
        <v>24</v>
      </c>
      <c r="AP456" s="2" t="s">
        <v>23</v>
      </c>
      <c r="AQ456" s="116"/>
      <c r="AR456" s="116"/>
      <c r="AS456" s="116"/>
    </row>
    <row r="457" spans="1:45" ht="26.25" customHeight="1" x14ac:dyDescent="0.25">
      <c r="A457" s="117">
        <v>1</v>
      </c>
      <c r="B457" s="118">
        <v>1</v>
      </c>
      <c r="C457" s="130" t="s">
        <v>491</v>
      </c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  <c r="AA457" s="131"/>
      <c r="AB457" s="131"/>
      <c r="AC457" s="131"/>
      <c r="AD457" s="131"/>
      <c r="AE457" s="131"/>
      <c r="AF457" s="131"/>
      <c r="AG457" s="131"/>
      <c r="AH457" s="131"/>
      <c r="AI457" s="131"/>
      <c r="AJ457" s="131"/>
      <c r="AK457" s="131"/>
      <c r="AL457" s="131"/>
      <c r="AM457" s="131"/>
      <c r="AN457" s="131"/>
      <c r="AO457" s="132"/>
      <c r="AP457" s="132"/>
      <c r="AQ457" s="34">
        <v>2.708186768961105</v>
      </c>
      <c r="AR457" s="5"/>
      <c r="AS457" s="6"/>
    </row>
    <row r="458" spans="1:45" ht="27.75" customHeight="1" x14ac:dyDescent="0.25">
      <c r="A458" s="117"/>
      <c r="B458" s="118"/>
      <c r="C458" s="122" t="s">
        <v>480</v>
      </c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  <c r="AA458" s="123"/>
      <c r="AB458" s="123"/>
      <c r="AC458" s="123"/>
      <c r="AD458" s="123"/>
      <c r="AE458" s="123"/>
      <c r="AF458" s="123"/>
      <c r="AG458" s="123"/>
      <c r="AH458" s="123"/>
      <c r="AI458" s="123"/>
      <c r="AJ458" s="123"/>
      <c r="AK458" s="123"/>
      <c r="AL458" s="123"/>
      <c r="AM458" s="123"/>
      <c r="AN458" s="123"/>
      <c r="AO458" s="17"/>
      <c r="AP458" s="18"/>
      <c r="AQ458" s="7"/>
      <c r="AR458" s="8"/>
      <c r="AS458" s="4"/>
    </row>
    <row r="459" spans="1:45" ht="36" customHeight="1" x14ac:dyDescent="0.25">
      <c r="A459" s="117"/>
      <c r="B459" s="118"/>
      <c r="C459" s="1">
        <v>1</v>
      </c>
      <c r="D459" s="70" t="s">
        <v>427</v>
      </c>
      <c r="E459" s="71"/>
      <c r="F459" s="72">
        <v>1</v>
      </c>
      <c r="G459" s="15"/>
      <c r="H459" s="16"/>
      <c r="I459" s="16">
        <v>0.6</v>
      </c>
      <c r="J459" s="16"/>
      <c r="K459" s="16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4">
        <v>20</v>
      </c>
      <c r="AC459" s="75">
        <v>10</v>
      </c>
      <c r="AD459" s="74"/>
      <c r="AE459" s="75"/>
      <c r="AF459" s="5"/>
      <c r="AG459" s="8"/>
      <c r="AH459" s="8"/>
      <c r="AI459" s="8"/>
      <c r="AJ459" s="8"/>
      <c r="AK459" s="8"/>
      <c r="AL459" s="8"/>
      <c r="AM459" s="8"/>
      <c r="AN459" s="8"/>
      <c r="AO459" s="76">
        <v>-73.067522881999935</v>
      </c>
      <c r="AP459" s="76">
        <v>6.8112054650000573</v>
      </c>
      <c r="AQ459" s="13"/>
      <c r="AR459" s="64">
        <f t="shared" ref="AR459:AR467" si="73">$H459*0.1+$I459*0.1+$J459*0.1+$K459*0.1+$L459*0.1+$M459*0.1+$N459*0.1+$P459*0.1+$O459*0.1+$Q459*0.1+$R459*0.1+$S459*0.1+$T459*0.1+$U459*0.1+$V459*0.1+$W459*0.1+$X459*0.1+$Y459*0.1+$Z459*0.0001+$AA459*0.1+$AB459*(130/(3600*24))+$AC459*0.001+$AE459*0.0006+$AF459*0.002+$AG459*0.0006+$AH459*0.0002+$AI459*0.0002+$AJ459*0.000004+$AN459*0.0004</f>
        <v>0.10009259259259258</v>
      </c>
      <c r="AS459" s="14">
        <f>AR459/$AQ$457</f>
        <v>3.6959265047657466E-2</v>
      </c>
    </row>
    <row r="460" spans="1:45" ht="36" customHeight="1" x14ac:dyDescent="0.25">
      <c r="A460" s="117"/>
      <c r="B460" s="118"/>
      <c r="C460" s="1">
        <v>2</v>
      </c>
      <c r="D460" s="70" t="s">
        <v>428</v>
      </c>
      <c r="E460" s="71"/>
      <c r="F460" s="72">
        <v>1</v>
      </c>
      <c r="G460" s="15"/>
      <c r="H460" s="16"/>
      <c r="I460" s="16">
        <v>0.2</v>
      </c>
      <c r="J460" s="16"/>
      <c r="K460" s="16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>
        <v>2.5000000000000001E-2</v>
      </c>
      <c r="Z460" s="73"/>
      <c r="AA460" s="73"/>
      <c r="AB460" s="74">
        <v>7</v>
      </c>
      <c r="AC460" s="75">
        <v>5</v>
      </c>
      <c r="AD460" s="74"/>
      <c r="AE460" s="75"/>
      <c r="AF460" s="5"/>
      <c r="AG460" s="8"/>
      <c r="AH460" s="8"/>
      <c r="AI460" s="8"/>
      <c r="AJ460" s="8"/>
      <c r="AK460" s="8"/>
      <c r="AL460" s="8"/>
      <c r="AM460" s="8"/>
      <c r="AN460" s="8"/>
      <c r="AO460" s="76">
        <v>-73.065194376999955</v>
      </c>
      <c r="AP460" s="77">
        <v>6.8083440280000218</v>
      </c>
      <c r="AQ460" s="13"/>
      <c r="AR460" s="64">
        <f t="shared" si="73"/>
        <v>3.8032407407407411E-2</v>
      </c>
      <c r="AS460" s="14">
        <f t="shared" ref="AS460:AS467" si="74">AR460/$AQ$457</f>
        <v>1.4043495021577529E-2</v>
      </c>
    </row>
    <row r="461" spans="1:45" ht="36" customHeight="1" x14ac:dyDescent="0.25">
      <c r="A461" s="117"/>
      <c r="B461" s="118"/>
      <c r="C461" s="1">
        <v>3</v>
      </c>
      <c r="D461" s="70" t="s">
        <v>429</v>
      </c>
      <c r="E461" s="71"/>
      <c r="F461" s="72">
        <v>1</v>
      </c>
      <c r="G461" s="15"/>
      <c r="H461" s="16"/>
      <c r="I461" s="16"/>
      <c r="J461" s="16"/>
      <c r="K461" s="16"/>
      <c r="L461" s="73"/>
      <c r="M461" s="73">
        <v>0.5</v>
      </c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4">
        <v>20</v>
      </c>
      <c r="AC461" s="75">
        <v>30</v>
      </c>
      <c r="AD461" s="74"/>
      <c r="AE461" s="75"/>
      <c r="AF461" s="5"/>
      <c r="AG461" s="8"/>
      <c r="AH461" s="8"/>
      <c r="AI461" s="8"/>
      <c r="AJ461" s="8"/>
      <c r="AK461" s="8"/>
      <c r="AL461" s="8"/>
      <c r="AM461" s="8"/>
      <c r="AN461" s="8"/>
      <c r="AO461" s="76">
        <v>-73.06715894499996</v>
      </c>
      <c r="AP461" s="77">
        <v>6.8115204090000248</v>
      </c>
      <c r="AQ461" s="13"/>
      <c r="AR461" s="64">
        <f t="shared" si="73"/>
        <v>0.1100925925925926</v>
      </c>
      <c r="AS461" s="14">
        <f t="shared" si="74"/>
        <v>4.0651772563982183E-2</v>
      </c>
    </row>
    <row r="462" spans="1:45" ht="36" customHeight="1" x14ac:dyDescent="0.25">
      <c r="A462" s="117"/>
      <c r="B462" s="118"/>
      <c r="C462" s="1">
        <v>4</v>
      </c>
      <c r="D462" s="70" t="s">
        <v>430</v>
      </c>
      <c r="E462" s="71"/>
      <c r="F462" s="72">
        <v>2.5</v>
      </c>
      <c r="G462" s="15"/>
      <c r="H462" s="16"/>
      <c r="I462" s="16">
        <v>2</v>
      </c>
      <c r="J462" s="16"/>
      <c r="K462" s="16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4">
        <v>14</v>
      </c>
      <c r="AC462" s="75">
        <v>10</v>
      </c>
      <c r="AD462" s="74"/>
      <c r="AE462" s="75"/>
      <c r="AF462" s="5"/>
      <c r="AG462" s="8"/>
      <c r="AH462" s="8"/>
      <c r="AI462" s="8"/>
      <c r="AJ462" s="8"/>
      <c r="AK462" s="8"/>
      <c r="AL462" s="8"/>
      <c r="AM462" s="8"/>
      <c r="AN462" s="8"/>
      <c r="AO462" s="76">
        <v>-73.068068611999934</v>
      </c>
      <c r="AP462" s="77">
        <v>6.8114659100000381</v>
      </c>
      <c r="AQ462" s="13"/>
      <c r="AR462" s="64">
        <f t="shared" si="73"/>
        <v>0.23106481481481483</v>
      </c>
      <c r="AS462" s="14">
        <f t="shared" si="74"/>
        <v>8.5320856546187998E-2</v>
      </c>
    </row>
    <row r="463" spans="1:45" ht="36" customHeight="1" x14ac:dyDescent="0.25">
      <c r="A463" s="117"/>
      <c r="B463" s="118"/>
      <c r="C463" s="1">
        <v>5</v>
      </c>
      <c r="D463" s="70" t="s">
        <v>431</v>
      </c>
      <c r="E463" s="71"/>
      <c r="F463" s="72">
        <v>1.5</v>
      </c>
      <c r="G463" s="15"/>
      <c r="H463" s="16"/>
      <c r="I463" s="16">
        <v>0.25</v>
      </c>
      <c r="J463" s="16"/>
      <c r="K463" s="16"/>
      <c r="L463" s="73"/>
      <c r="M463" s="73"/>
      <c r="N463" s="73"/>
      <c r="O463" s="73"/>
      <c r="P463" s="73"/>
      <c r="Q463" s="73"/>
      <c r="R463" s="73"/>
      <c r="S463" s="73"/>
      <c r="T463" s="73"/>
      <c r="U463" s="73">
        <v>0.1</v>
      </c>
      <c r="V463" s="73"/>
      <c r="W463" s="73"/>
      <c r="X463" s="73"/>
      <c r="Y463" s="73"/>
      <c r="Z463" s="73"/>
      <c r="AA463" s="73"/>
      <c r="AB463" s="74"/>
      <c r="AC463" s="75"/>
      <c r="AD463" s="74"/>
      <c r="AE463" s="75"/>
      <c r="AF463" s="5"/>
      <c r="AG463" s="8"/>
      <c r="AH463" s="8"/>
      <c r="AI463" s="8"/>
      <c r="AJ463" s="8"/>
      <c r="AK463" s="8"/>
      <c r="AL463" s="8"/>
      <c r="AM463" s="8"/>
      <c r="AN463" s="8"/>
      <c r="AO463" s="76">
        <v>-73.068524751999973</v>
      </c>
      <c r="AP463" s="77">
        <v>6.8092594030000546</v>
      </c>
      <c r="AQ463" s="13"/>
      <c r="AR463" s="64">
        <f t="shared" si="73"/>
        <v>3.5000000000000003E-2</v>
      </c>
      <c r="AS463" s="14">
        <f t="shared" si="74"/>
        <v>1.2923776307136472E-2</v>
      </c>
    </row>
    <row r="464" spans="1:45" ht="36" customHeight="1" x14ac:dyDescent="0.25">
      <c r="A464" s="117"/>
      <c r="B464" s="118"/>
      <c r="C464" s="1">
        <v>6</v>
      </c>
      <c r="D464" s="70" t="s">
        <v>432</v>
      </c>
      <c r="E464" s="71"/>
      <c r="F464" s="72">
        <v>1</v>
      </c>
      <c r="G464" s="15"/>
      <c r="H464" s="16"/>
      <c r="I464" s="16">
        <v>0.8</v>
      </c>
      <c r="J464" s="16"/>
      <c r="K464" s="16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4">
        <v>8</v>
      </c>
      <c r="AC464" s="75">
        <v>4</v>
      </c>
      <c r="AD464" s="74"/>
      <c r="AE464" s="75"/>
      <c r="AF464" s="5"/>
      <c r="AG464" s="8"/>
      <c r="AH464" s="8"/>
      <c r="AI464" s="8"/>
      <c r="AJ464" s="8"/>
      <c r="AK464" s="8"/>
      <c r="AL464" s="8"/>
      <c r="AM464" s="8"/>
      <c r="AN464" s="8"/>
      <c r="AO464" s="76">
        <v>-73.066449989999967</v>
      </c>
      <c r="AP464" s="77">
        <v>6.8105021960000727</v>
      </c>
      <c r="AQ464" s="13"/>
      <c r="AR464" s="64">
        <f t="shared" si="73"/>
        <v>9.603703703703706E-2</v>
      </c>
      <c r="AS464" s="14">
        <f t="shared" si="74"/>
        <v>3.5461748110481348E-2</v>
      </c>
    </row>
    <row r="465" spans="1:45" ht="36" customHeight="1" x14ac:dyDescent="0.25">
      <c r="A465" s="117"/>
      <c r="B465" s="118"/>
      <c r="C465" s="1">
        <v>7</v>
      </c>
      <c r="D465" s="70" t="s">
        <v>433</v>
      </c>
      <c r="E465" s="71"/>
      <c r="F465" s="72">
        <v>1.0951</v>
      </c>
      <c r="G465" s="15"/>
      <c r="H465" s="16"/>
      <c r="I465" s="16"/>
      <c r="J465" s="16"/>
      <c r="K465" s="16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>
        <v>1</v>
      </c>
      <c r="AB465" s="74">
        <v>6</v>
      </c>
      <c r="AC465" s="75"/>
      <c r="AD465" s="74"/>
      <c r="AE465" s="75"/>
      <c r="AF465" s="5"/>
      <c r="AG465" s="8"/>
      <c r="AH465" s="8"/>
      <c r="AI465" s="8"/>
      <c r="AJ465" s="8"/>
      <c r="AK465" s="8"/>
      <c r="AL465" s="8"/>
      <c r="AM465" s="8"/>
      <c r="AN465" s="8"/>
      <c r="AO465" s="76">
        <v>-73.672499999999999</v>
      </c>
      <c r="AP465" s="77">
        <v>6.5947222222222219</v>
      </c>
      <c r="AQ465" s="13"/>
      <c r="AR465" s="64">
        <f t="shared" si="73"/>
        <v>0.10902777777777778</v>
      </c>
      <c r="AS465" s="14">
        <f t="shared" si="74"/>
        <v>4.025858889326242E-2</v>
      </c>
    </row>
    <row r="466" spans="1:45" ht="36" customHeight="1" x14ac:dyDescent="0.25">
      <c r="A466" s="117"/>
      <c r="B466" s="118"/>
      <c r="C466" s="1">
        <v>8</v>
      </c>
      <c r="D466" s="70" t="s">
        <v>433</v>
      </c>
      <c r="E466" s="71"/>
      <c r="F466" s="72">
        <v>1.0951630000000001</v>
      </c>
      <c r="G466" s="15"/>
      <c r="H466" s="16"/>
      <c r="I466" s="16">
        <v>1</v>
      </c>
      <c r="J466" s="16"/>
      <c r="K466" s="16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4">
        <v>6</v>
      </c>
      <c r="AC466" s="75"/>
      <c r="AD466" s="74"/>
      <c r="AE466" s="75"/>
      <c r="AF466" s="5"/>
      <c r="AG466" s="8"/>
      <c r="AH466" s="8"/>
      <c r="AI466" s="8"/>
      <c r="AJ466" s="8"/>
      <c r="AK466" s="8"/>
      <c r="AL466" s="8"/>
      <c r="AM466" s="8"/>
      <c r="AN466" s="8"/>
      <c r="AO466" s="76">
        <v>-73.06</v>
      </c>
      <c r="AP466" s="77">
        <v>6.8096388888888884</v>
      </c>
      <c r="AQ466" s="13"/>
      <c r="AR466" s="64">
        <f t="shared" si="73"/>
        <v>0.10902777777777778</v>
      </c>
      <c r="AS466" s="14">
        <f t="shared" si="74"/>
        <v>4.025858889326242E-2</v>
      </c>
    </row>
    <row r="467" spans="1:45" ht="36" customHeight="1" x14ac:dyDescent="0.25">
      <c r="A467" s="117"/>
      <c r="B467" s="118"/>
      <c r="C467" s="1">
        <v>9</v>
      </c>
      <c r="D467" s="70" t="s">
        <v>434</v>
      </c>
      <c r="E467" s="71"/>
      <c r="F467" s="72">
        <v>3.5</v>
      </c>
      <c r="G467" s="15"/>
      <c r="H467" s="16"/>
      <c r="I467" s="16"/>
      <c r="J467" s="16"/>
      <c r="K467" s="16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>
        <v>1</v>
      </c>
      <c r="AB467" s="74">
        <v>7</v>
      </c>
      <c r="AC467" s="75">
        <v>5</v>
      </c>
      <c r="AD467" s="74"/>
      <c r="AE467" s="75"/>
      <c r="AF467" s="5"/>
      <c r="AG467" s="8"/>
      <c r="AH467" s="8"/>
      <c r="AI467" s="8"/>
      <c r="AJ467" s="8"/>
      <c r="AK467" s="8"/>
      <c r="AL467" s="8"/>
      <c r="AM467" s="8"/>
      <c r="AN467" s="76"/>
      <c r="AO467" s="76">
        <v>-73.060519444444395</v>
      </c>
      <c r="AP467" s="77">
        <v>6.8090833333333336</v>
      </c>
      <c r="AQ467" s="13"/>
      <c r="AR467" s="64">
        <f t="shared" si="73"/>
        <v>0.11553240740740742</v>
      </c>
      <c r="AS467" s="14">
        <f t="shared" si="74"/>
        <v>4.2660428273093999E-2</v>
      </c>
    </row>
    <row r="468" spans="1:45" ht="23.25" customHeight="1" x14ac:dyDescent="0.25">
      <c r="A468" s="79"/>
      <c r="B468" s="2"/>
      <c r="C468" s="113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  <c r="AH468" s="114"/>
      <c r="AI468" s="114"/>
      <c r="AJ468" s="114"/>
      <c r="AK468" s="114"/>
      <c r="AL468" s="114"/>
      <c r="AM468" s="114"/>
      <c r="AN468" s="114"/>
      <c r="AO468" s="114"/>
      <c r="AP468" s="115"/>
      <c r="AQ468" s="78"/>
      <c r="AR468" s="7">
        <f>SUM(AR459:AR467)</f>
        <v>0.94390740740740753</v>
      </c>
      <c r="AS468" s="81">
        <f>SUM(AS459:AS467)</f>
        <v>0.34853851965664184</v>
      </c>
    </row>
    <row r="469" spans="1:45" ht="34.5" customHeight="1" x14ac:dyDescent="0.25"/>
    <row r="470" spans="1:45" ht="42" customHeight="1" x14ac:dyDescent="0.25"/>
    <row r="471" spans="1:45" ht="33.75" customHeight="1" x14ac:dyDescent="0.25">
      <c r="A471" s="126" t="s">
        <v>31</v>
      </c>
      <c r="B471" s="126" t="s">
        <v>32</v>
      </c>
      <c r="C471" s="127" t="s">
        <v>0</v>
      </c>
      <c r="D471" s="128" t="s">
        <v>1</v>
      </c>
      <c r="E471" s="128" t="s">
        <v>2</v>
      </c>
      <c r="F471" s="129" t="s">
        <v>3</v>
      </c>
      <c r="G471" s="116" t="s">
        <v>4</v>
      </c>
      <c r="H471" s="124" t="s">
        <v>5</v>
      </c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  <c r="AA471" s="124"/>
      <c r="AB471" s="116" t="s">
        <v>6</v>
      </c>
      <c r="AC471" s="116" t="s">
        <v>7</v>
      </c>
      <c r="AD471" s="124" t="s">
        <v>8</v>
      </c>
      <c r="AE471" s="124" t="s">
        <v>9</v>
      </c>
      <c r="AF471" s="124"/>
      <c r="AG471" s="124"/>
      <c r="AH471" s="124"/>
      <c r="AI471" s="124"/>
      <c r="AJ471" s="124"/>
      <c r="AK471" s="124"/>
      <c r="AL471" s="124"/>
      <c r="AM471" s="124"/>
      <c r="AN471" s="124" t="s">
        <v>30</v>
      </c>
      <c r="AO471" s="125" t="s">
        <v>10</v>
      </c>
      <c r="AP471" s="125"/>
      <c r="AQ471" s="116" t="s">
        <v>11</v>
      </c>
      <c r="AR471" s="116" t="s">
        <v>12</v>
      </c>
      <c r="AS471" s="116" t="s">
        <v>13</v>
      </c>
    </row>
    <row r="472" spans="1:45" ht="63.75" customHeight="1" x14ac:dyDescent="0.25">
      <c r="A472" s="126"/>
      <c r="B472" s="126"/>
      <c r="C472" s="127"/>
      <c r="D472" s="128"/>
      <c r="E472" s="128"/>
      <c r="F472" s="129"/>
      <c r="G472" s="116"/>
      <c r="H472" s="19" t="s">
        <v>326</v>
      </c>
      <c r="I472" s="19" t="s">
        <v>69</v>
      </c>
      <c r="J472" s="19" t="s">
        <v>327</v>
      </c>
      <c r="K472" s="19" t="s">
        <v>70</v>
      </c>
      <c r="L472" s="19" t="s">
        <v>328</v>
      </c>
      <c r="M472" s="19" t="s">
        <v>71</v>
      </c>
      <c r="N472" s="19" t="s">
        <v>329</v>
      </c>
      <c r="O472" s="19" t="s">
        <v>72</v>
      </c>
      <c r="P472" s="19" t="s">
        <v>73</v>
      </c>
      <c r="Q472" s="19" t="s">
        <v>330</v>
      </c>
      <c r="R472" s="19" t="s">
        <v>331</v>
      </c>
      <c r="S472" s="19" t="s">
        <v>121</v>
      </c>
      <c r="T472" s="19" t="s">
        <v>16</v>
      </c>
      <c r="U472" s="19" t="s">
        <v>332</v>
      </c>
      <c r="V472" s="19" t="s">
        <v>122</v>
      </c>
      <c r="W472" s="19" t="s">
        <v>333</v>
      </c>
      <c r="X472" s="19" t="s">
        <v>170</v>
      </c>
      <c r="Y472" s="19" t="s">
        <v>152</v>
      </c>
      <c r="Z472" s="19" t="s">
        <v>14</v>
      </c>
      <c r="AA472" s="19" t="s">
        <v>334</v>
      </c>
      <c r="AB472" s="116"/>
      <c r="AC472" s="116"/>
      <c r="AD472" s="124"/>
      <c r="AE472" s="19" t="s">
        <v>19</v>
      </c>
      <c r="AF472" s="19" t="s">
        <v>335</v>
      </c>
      <c r="AG472" s="19" t="s">
        <v>336</v>
      </c>
      <c r="AH472" s="19" t="s">
        <v>337</v>
      </c>
      <c r="AI472" s="19" t="s">
        <v>21</v>
      </c>
      <c r="AJ472" s="19" t="s">
        <v>338</v>
      </c>
      <c r="AK472" s="19" t="s">
        <v>192</v>
      </c>
      <c r="AL472" s="19" t="s">
        <v>193</v>
      </c>
      <c r="AM472" s="19" t="s">
        <v>339</v>
      </c>
      <c r="AN472" s="124"/>
      <c r="AO472" s="2" t="s">
        <v>24</v>
      </c>
      <c r="AP472" s="2" t="s">
        <v>23</v>
      </c>
      <c r="AQ472" s="116"/>
      <c r="AR472" s="116"/>
      <c r="AS472" s="116"/>
    </row>
    <row r="473" spans="1:45" ht="26.25" customHeight="1" x14ac:dyDescent="0.25">
      <c r="A473" s="117">
        <v>2</v>
      </c>
      <c r="B473" s="118">
        <v>2</v>
      </c>
      <c r="C473" s="119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1"/>
      <c r="AP473" s="121"/>
      <c r="AQ473" s="34">
        <v>3.1982510857589799</v>
      </c>
      <c r="AR473" s="5"/>
      <c r="AS473" s="6"/>
    </row>
    <row r="474" spans="1:45" ht="27.75" customHeight="1" x14ac:dyDescent="0.25">
      <c r="A474" s="117"/>
      <c r="B474" s="118"/>
      <c r="C474" s="122" t="s">
        <v>481</v>
      </c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  <c r="AA474" s="123"/>
      <c r="AB474" s="123"/>
      <c r="AC474" s="123"/>
      <c r="AD474" s="123"/>
      <c r="AE474" s="123"/>
      <c r="AF474" s="123"/>
      <c r="AG474" s="123"/>
      <c r="AH474" s="123"/>
      <c r="AI474" s="123"/>
      <c r="AJ474" s="123"/>
      <c r="AK474" s="123"/>
      <c r="AL474" s="123"/>
      <c r="AM474" s="123"/>
      <c r="AN474" s="123"/>
      <c r="AO474" s="17"/>
      <c r="AP474" s="18"/>
      <c r="AQ474" s="7"/>
      <c r="AR474" s="8"/>
      <c r="AS474" s="4"/>
    </row>
    <row r="475" spans="1:45" ht="36" customHeight="1" x14ac:dyDescent="0.25">
      <c r="A475" s="117"/>
      <c r="B475" s="118"/>
      <c r="C475" s="1">
        <v>1</v>
      </c>
      <c r="D475" s="70" t="s">
        <v>435</v>
      </c>
      <c r="E475" s="8">
        <v>5</v>
      </c>
      <c r="F475" s="72"/>
      <c r="G475" s="15"/>
      <c r="H475" s="16"/>
      <c r="I475" s="16"/>
      <c r="J475" s="16"/>
      <c r="K475" s="16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4">
        <v>19</v>
      </c>
      <c r="AC475" s="75">
        <v>3</v>
      </c>
      <c r="AD475" s="74"/>
      <c r="AE475" s="75"/>
      <c r="AF475" s="5"/>
      <c r="AG475" s="8"/>
      <c r="AH475" s="8"/>
      <c r="AI475" s="8"/>
      <c r="AJ475" s="8">
        <v>43300</v>
      </c>
      <c r="AK475" s="8"/>
      <c r="AL475" s="8"/>
      <c r="AM475" s="8"/>
      <c r="AN475" s="8"/>
      <c r="AO475" s="76">
        <v>-73.083828992999941</v>
      </c>
      <c r="AP475" s="76">
        <v>6.8033499230000416</v>
      </c>
      <c r="AQ475" s="13"/>
      <c r="AR475" s="64">
        <f t="shared" ref="AR475" si="75">$H475*0.1+$I475*0.1+$J475*0.1+$K475*0.1+$L475*0.1+$M475*0.1+$N475*0.1+$P475*0.1+$O475*0.1+$Q475*0.1+$R475*0.1+$S475*0.1+$T475*0.1+$U475*0.1+$V475*0.1+$W475*0.1+$X475*0.1+$Y475*0.1+$Z475*0.0001+$AA475*0.1+$AB475*(130/(3600*24))+$AC475*0.001+$AE475*0.0006+$AF475*0.002+$AG475*0.0006+$AH475*0.0002+$AI475*0.0002+$AJ475*0.000004+$AN475*0.0004</f>
        <v>0.20478796296296295</v>
      </c>
      <c r="AS475" s="14">
        <f>AR475/AQ473</f>
        <v>6.4031233781122771E-2</v>
      </c>
    </row>
    <row r="476" spans="1:45" ht="23.25" customHeight="1" x14ac:dyDescent="0.25">
      <c r="A476" s="79"/>
      <c r="B476" s="2"/>
      <c r="C476" s="113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14"/>
      <c r="AG476" s="114"/>
      <c r="AH476" s="114"/>
      <c r="AI476" s="114"/>
      <c r="AJ476" s="114"/>
      <c r="AK476" s="114"/>
      <c r="AL476" s="114"/>
      <c r="AM476" s="114"/>
      <c r="AN476" s="114"/>
      <c r="AO476" s="114"/>
      <c r="AP476" s="115"/>
      <c r="AQ476" s="78"/>
      <c r="AR476" s="7">
        <f>SUM(AR475)</f>
        <v>0.20478796296296295</v>
      </c>
      <c r="AS476" s="81">
        <f>SUM(AS475)</f>
        <v>6.4031233781122771E-2</v>
      </c>
    </row>
    <row r="477" spans="1:45" ht="38.25" customHeight="1" x14ac:dyDescent="0.25"/>
    <row r="478" spans="1:45" ht="42.75" customHeight="1" x14ac:dyDescent="0.25"/>
    <row r="479" spans="1:45" ht="33.75" customHeight="1" x14ac:dyDescent="0.25">
      <c r="A479" s="126" t="s">
        <v>31</v>
      </c>
      <c r="B479" s="126" t="s">
        <v>32</v>
      </c>
      <c r="C479" s="127" t="s">
        <v>0</v>
      </c>
      <c r="D479" s="128" t="s">
        <v>1</v>
      </c>
      <c r="E479" s="128" t="s">
        <v>2</v>
      </c>
      <c r="F479" s="129" t="s">
        <v>3</v>
      </c>
      <c r="G479" s="116" t="s">
        <v>4</v>
      </c>
      <c r="H479" s="124" t="s">
        <v>493</v>
      </c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  <c r="AA479" s="124"/>
      <c r="AB479" s="116" t="s">
        <v>6</v>
      </c>
      <c r="AC479" s="116" t="s">
        <v>7</v>
      </c>
      <c r="AD479" s="124" t="s">
        <v>8</v>
      </c>
      <c r="AE479" s="124" t="s">
        <v>9</v>
      </c>
      <c r="AF479" s="124"/>
      <c r="AG479" s="124"/>
      <c r="AH479" s="124"/>
      <c r="AI479" s="124"/>
      <c r="AJ479" s="124"/>
      <c r="AK479" s="124"/>
      <c r="AL479" s="124"/>
      <c r="AM479" s="124"/>
      <c r="AN479" s="124" t="s">
        <v>30</v>
      </c>
      <c r="AO479" s="125" t="s">
        <v>10</v>
      </c>
      <c r="AP479" s="125"/>
      <c r="AQ479" s="116" t="s">
        <v>11</v>
      </c>
      <c r="AR479" s="116" t="s">
        <v>12</v>
      </c>
      <c r="AS479" s="116" t="s">
        <v>13</v>
      </c>
    </row>
    <row r="480" spans="1:45" ht="63.75" customHeight="1" x14ac:dyDescent="0.25">
      <c r="A480" s="126"/>
      <c r="B480" s="126"/>
      <c r="C480" s="127"/>
      <c r="D480" s="128"/>
      <c r="E480" s="128"/>
      <c r="F480" s="129"/>
      <c r="G480" s="116"/>
      <c r="H480" s="19" t="s">
        <v>326</v>
      </c>
      <c r="I480" s="19" t="s">
        <v>69</v>
      </c>
      <c r="J480" s="19" t="s">
        <v>327</v>
      </c>
      <c r="K480" s="19" t="s">
        <v>70</v>
      </c>
      <c r="L480" s="19" t="s">
        <v>328</v>
      </c>
      <c r="M480" s="19" t="s">
        <v>71</v>
      </c>
      <c r="N480" s="19" t="s">
        <v>329</v>
      </c>
      <c r="O480" s="19" t="s">
        <v>72</v>
      </c>
      <c r="P480" s="19" t="s">
        <v>73</v>
      </c>
      <c r="Q480" s="19" t="s">
        <v>330</v>
      </c>
      <c r="R480" s="19" t="s">
        <v>331</v>
      </c>
      <c r="S480" s="19" t="s">
        <v>121</v>
      </c>
      <c r="T480" s="19" t="s">
        <v>16</v>
      </c>
      <c r="U480" s="19" t="s">
        <v>332</v>
      </c>
      <c r="V480" s="19" t="s">
        <v>122</v>
      </c>
      <c r="W480" s="19" t="s">
        <v>333</v>
      </c>
      <c r="X480" s="19" t="s">
        <v>170</v>
      </c>
      <c r="Y480" s="19" t="s">
        <v>152</v>
      </c>
      <c r="Z480" s="19" t="s">
        <v>14</v>
      </c>
      <c r="AA480" s="19" t="s">
        <v>334</v>
      </c>
      <c r="AB480" s="116"/>
      <c r="AC480" s="116"/>
      <c r="AD480" s="124"/>
      <c r="AE480" s="19" t="s">
        <v>19</v>
      </c>
      <c r="AF480" s="19" t="s">
        <v>335</v>
      </c>
      <c r="AG480" s="19" t="s">
        <v>336</v>
      </c>
      <c r="AH480" s="19" t="s">
        <v>337</v>
      </c>
      <c r="AI480" s="19" t="s">
        <v>21</v>
      </c>
      <c r="AJ480" s="19" t="s">
        <v>338</v>
      </c>
      <c r="AK480" s="19" t="s">
        <v>192</v>
      </c>
      <c r="AL480" s="19" t="s">
        <v>193</v>
      </c>
      <c r="AM480" s="19" t="s">
        <v>339</v>
      </c>
      <c r="AN480" s="124"/>
      <c r="AO480" s="2" t="s">
        <v>24</v>
      </c>
      <c r="AP480" s="2" t="s">
        <v>23</v>
      </c>
      <c r="AQ480" s="116"/>
      <c r="AR480" s="116"/>
      <c r="AS480" s="116"/>
    </row>
    <row r="481" spans="1:45" ht="26.25" customHeight="1" x14ac:dyDescent="0.25">
      <c r="A481" s="117">
        <v>3</v>
      </c>
      <c r="B481" s="118">
        <v>3</v>
      </c>
      <c r="C481" s="119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1"/>
      <c r="AP481" s="121"/>
      <c r="AQ481" s="34">
        <v>7.4526756416242437</v>
      </c>
      <c r="AR481" s="5"/>
      <c r="AS481" s="6"/>
    </row>
    <row r="482" spans="1:45" ht="27.75" customHeight="1" x14ac:dyDescent="0.25">
      <c r="A482" s="117"/>
      <c r="B482" s="118"/>
      <c r="C482" s="122" t="s">
        <v>482</v>
      </c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  <c r="AA482" s="123"/>
      <c r="AB482" s="123"/>
      <c r="AC482" s="123"/>
      <c r="AD482" s="123"/>
      <c r="AE482" s="123"/>
      <c r="AF482" s="123"/>
      <c r="AG482" s="123"/>
      <c r="AH482" s="123"/>
      <c r="AI482" s="123"/>
      <c r="AJ482" s="123"/>
      <c r="AK482" s="123"/>
      <c r="AL482" s="123"/>
      <c r="AM482" s="123"/>
      <c r="AN482" s="123"/>
      <c r="AO482" s="17"/>
      <c r="AP482" s="18"/>
      <c r="AQ482" s="7"/>
      <c r="AR482" s="8"/>
      <c r="AS482" s="4"/>
    </row>
    <row r="483" spans="1:45" ht="36" customHeight="1" x14ac:dyDescent="0.25">
      <c r="A483" s="117"/>
      <c r="B483" s="118"/>
      <c r="C483" s="1">
        <v>1</v>
      </c>
      <c r="D483" s="70" t="s">
        <v>436</v>
      </c>
      <c r="E483" s="8"/>
      <c r="F483" s="72">
        <v>127</v>
      </c>
      <c r="G483" s="15"/>
      <c r="H483" s="16"/>
      <c r="I483" s="16"/>
      <c r="J483" s="16"/>
      <c r="K483" s="16"/>
      <c r="L483" s="73"/>
      <c r="M483" s="73">
        <v>0.5</v>
      </c>
      <c r="N483" s="73"/>
      <c r="O483" s="73"/>
      <c r="P483" s="73"/>
      <c r="Q483" s="73"/>
      <c r="R483" s="73"/>
      <c r="S483" s="73">
        <v>0.5</v>
      </c>
      <c r="T483" s="73">
        <v>3</v>
      </c>
      <c r="U483" s="73"/>
      <c r="V483" s="73"/>
      <c r="W483" s="73"/>
      <c r="X483" s="73">
        <v>0.5</v>
      </c>
      <c r="Y483" s="73"/>
      <c r="Z483" s="73"/>
      <c r="AA483" s="73"/>
      <c r="AB483" s="74">
        <v>6</v>
      </c>
      <c r="AC483" s="75">
        <v>3</v>
      </c>
      <c r="AD483" s="74"/>
      <c r="AE483" s="75"/>
      <c r="AF483" s="5"/>
      <c r="AG483" s="8"/>
      <c r="AH483" s="8"/>
      <c r="AI483" s="8"/>
      <c r="AJ483" s="8"/>
      <c r="AK483" s="8"/>
      <c r="AL483" s="8"/>
      <c r="AM483" s="8"/>
      <c r="AN483" s="8"/>
      <c r="AO483" s="76">
        <v>-73.083203999999995</v>
      </c>
      <c r="AP483" s="76">
        <v>6.8134990000000002</v>
      </c>
      <c r="AQ483" s="13"/>
      <c r="AR483" s="64">
        <f t="shared" ref="AR483:AR488" si="76">$H483*0.1+$I483*0.1+$J483*0.1+$K483*0.1+$L483*0.1+$M483*0.1+$N483*0.1+$P483*0.1+$O483*0.1+$Q483*0.1+$R483*0.1+$S483*0.1+$T483*0.1+$U483*0.1+$V483*0.1+$W483*0.1+$X483*0.1+$Y483*0.1+$Z483*0.0001+$AA483*0.1+$AB483*(130/(3600*24))+$AC483*0.001+$AE483*0.0006+$AF483*0.002+$AG483*0.0006+$AH483*0.0002+$AI483*0.0002+$AJ483*0.000004+$AN483*0.0004</f>
        <v>0.46202777777777781</v>
      </c>
      <c r="AS483" s="14">
        <f>AR483/$AQ$481</f>
        <v>6.1994886131537454E-2</v>
      </c>
    </row>
    <row r="484" spans="1:45" ht="36" customHeight="1" x14ac:dyDescent="0.25">
      <c r="A484" s="117"/>
      <c r="B484" s="118"/>
      <c r="C484" s="1">
        <v>2</v>
      </c>
      <c r="D484" s="70" t="s">
        <v>436</v>
      </c>
      <c r="E484" s="8"/>
      <c r="F484" s="72">
        <v>127</v>
      </c>
      <c r="G484" s="15"/>
      <c r="H484" s="16"/>
      <c r="I484" s="16"/>
      <c r="J484" s="16"/>
      <c r="K484" s="16"/>
      <c r="L484" s="73"/>
      <c r="M484" s="73">
        <v>0.5</v>
      </c>
      <c r="N484" s="73"/>
      <c r="O484" s="73"/>
      <c r="P484" s="73">
        <v>0.5</v>
      </c>
      <c r="Q484" s="73"/>
      <c r="R484" s="73"/>
      <c r="S484" s="73">
        <v>0.5</v>
      </c>
      <c r="T484" s="73"/>
      <c r="U484" s="73"/>
      <c r="V484" s="73">
        <v>2</v>
      </c>
      <c r="W484" s="73"/>
      <c r="X484" s="73"/>
      <c r="Y484" s="73"/>
      <c r="Z484" s="73"/>
      <c r="AA484" s="73"/>
      <c r="AB484" s="74">
        <v>8</v>
      </c>
      <c r="AC484" s="75">
        <v>5</v>
      </c>
      <c r="AD484" s="74"/>
      <c r="AE484" s="75"/>
      <c r="AF484" s="5"/>
      <c r="AG484" s="8"/>
      <c r="AH484" s="8"/>
      <c r="AI484" s="8"/>
      <c r="AJ484" s="8"/>
      <c r="AK484" s="8"/>
      <c r="AL484" s="8"/>
      <c r="AM484" s="8"/>
      <c r="AN484" s="8"/>
      <c r="AO484" s="76">
        <v>-73.082147000000006</v>
      </c>
      <c r="AP484" s="76">
        <v>6.8170890000000002</v>
      </c>
      <c r="AQ484" s="13"/>
      <c r="AR484" s="64">
        <f t="shared" si="76"/>
        <v>0.36703703703703705</v>
      </c>
      <c r="AS484" s="14">
        <f t="shared" ref="AS484:AS488" si="77">AR484/$AQ$481</f>
        <v>4.9249028763184523E-2</v>
      </c>
    </row>
    <row r="485" spans="1:45" ht="36" customHeight="1" x14ac:dyDescent="0.25">
      <c r="A485" s="117"/>
      <c r="B485" s="118"/>
      <c r="C485" s="1">
        <v>3</v>
      </c>
      <c r="D485" s="70" t="s">
        <v>436</v>
      </c>
      <c r="E485" s="8"/>
      <c r="F485" s="72">
        <v>127.995</v>
      </c>
      <c r="G485" s="15"/>
      <c r="H485" s="16"/>
      <c r="I485" s="16"/>
      <c r="J485" s="16"/>
      <c r="K485" s="16"/>
      <c r="L485" s="73"/>
      <c r="M485" s="73"/>
      <c r="N485" s="73"/>
      <c r="O485" s="73"/>
      <c r="P485" s="73"/>
      <c r="Q485" s="73"/>
      <c r="R485" s="73"/>
      <c r="S485" s="73"/>
      <c r="T485" s="73">
        <v>6</v>
      </c>
      <c r="U485" s="73"/>
      <c r="V485" s="73">
        <v>2</v>
      </c>
      <c r="W485" s="73"/>
      <c r="X485" s="73"/>
      <c r="Y485" s="73"/>
      <c r="Z485" s="73"/>
      <c r="AA485" s="73"/>
      <c r="AB485" s="74">
        <v>13</v>
      </c>
      <c r="AC485" s="75">
        <v>5</v>
      </c>
      <c r="AD485" s="74"/>
      <c r="AE485" s="75">
        <v>30</v>
      </c>
      <c r="AF485" s="5"/>
      <c r="AG485" s="8"/>
      <c r="AH485" s="8"/>
      <c r="AI485" s="8"/>
      <c r="AJ485" s="8"/>
      <c r="AK485" s="8"/>
      <c r="AL485" s="8"/>
      <c r="AM485" s="8"/>
      <c r="AN485" s="8"/>
      <c r="AO485" s="76">
        <v>-73.079756000000003</v>
      </c>
      <c r="AP485" s="76">
        <v>6.8092689999999996</v>
      </c>
      <c r="AQ485" s="13"/>
      <c r="AR485" s="64">
        <f t="shared" si="76"/>
        <v>0.84256018518518527</v>
      </c>
      <c r="AS485" s="14">
        <f t="shared" si="77"/>
        <v>0.11305472365916046</v>
      </c>
    </row>
    <row r="486" spans="1:45" ht="36" customHeight="1" x14ac:dyDescent="0.25">
      <c r="A486" s="117"/>
      <c r="B486" s="118"/>
      <c r="C486" s="1">
        <v>4</v>
      </c>
      <c r="D486" s="70" t="s">
        <v>437</v>
      </c>
      <c r="E486" s="8"/>
      <c r="F486" s="72">
        <v>127.9954</v>
      </c>
      <c r="G486" s="15"/>
      <c r="H486" s="16"/>
      <c r="I486" s="16"/>
      <c r="J486" s="16"/>
      <c r="K486" s="16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4">
        <v>9</v>
      </c>
      <c r="AC486" s="75">
        <v>5</v>
      </c>
      <c r="AD486" s="74"/>
      <c r="AE486" s="75"/>
      <c r="AF486" s="5"/>
      <c r="AG486" s="8"/>
      <c r="AH486" s="8"/>
      <c r="AI486" s="8"/>
      <c r="AJ486" s="8">
        <v>35000</v>
      </c>
      <c r="AK486" s="8"/>
      <c r="AL486" s="8"/>
      <c r="AM486" s="8"/>
      <c r="AN486" s="8"/>
      <c r="AO486" s="76">
        <v>-73.082151548999946</v>
      </c>
      <c r="AP486" s="76">
        <v>6.8114607490000481</v>
      </c>
      <c r="AQ486" s="13"/>
      <c r="AR486" s="64">
        <f t="shared" si="76"/>
        <v>0.15854166666666666</v>
      </c>
      <c r="AS486" s="14">
        <f t="shared" si="77"/>
        <v>2.1273120459072325E-2</v>
      </c>
    </row>
    <row r="487" spans="1:45" ht="36" customHeight="1" x14ac:dyDescent="0.25">
      <c r="A487" s="117"/>
      <c r="B487" s="118"/>
      <c r="C487" s="1">
        <v>5</v>
      </c>
      <c r="D487" s="70" t="s">
        <v>438</v>
      </c>
      <c r="E487" s="8"/>
      <c r="F487" s="72">
        <v>99</v>
      </c>
      <c r="G487" s="15"/>
      <c r="H487" s="16"/>
      <c r="I487" s="16">
        <v>2.5</v>
      </c>
      <c r="J487" s="16"/>
      <c r="K487" s="16"/>
      <c r="L487" s="73"/>
      <c r="M487" s="73"/>
      <c r="N487" s="73"/>
      <c r="O487" s="73">
        <f>2.5/2</f>
        <v>1.25</v>
      </c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>
        <v>1.25</v>
      </c>
      <c r="AB487" s="74">
        <v>8</v>
      </c>
      <c r="AC487" s="75">
        <v>12</v>
      </c>
      <c r="AD487" s="74"/>
      <c r="AE487" s="75"/>
      <c r="AF487" s="5"/>
      <c r="AG487" s="8"/>
      <c r="AH487" s="8"/>
      <c r="AI487" s="8"/>
      <c r="AJ487" s="8"/>
      <c r="AK487" s="8"/>
      <c r="AL487" s="8"/>
      <c r="AM487" s="8"/>
      <c r="AN487" s="8"/>
      <c r="AO487" s="76">
        <v>-73.085940575999985</v>
      </c>
      <c r="AP487" s="76">
        <v>6.8169108080000456</v>
      </c>
      <c r="AQ487" s="13"/>
      <c r="AR487" s="64">
        <f t="shared" si="76"/>
        <v>0.52403703703703708</v>
      </c>
      <c r="AS487" s="14">
        <f t="shared" si="77"/>
        <v>7.0315288392562847E-2</v>
      </c>
    </row>
    <row r="488" spans="1:45" ht="36" customHeight="1" x14ac:dyDescent="0.25">
      <c r="A488" s="117"/>
      <c r="B488" s="118"/>
      <c r="C488" s="1">
        <v>6</v>
      </c>
      <c r="D488" s="70" t="s">
        <v>365</v>
      </c>
      <c r="E488" s="8"/>
      <c r="F488" s="72">
        <v>99</v>
      </c>
      <c r="G488" s="15"/>
      <c r="H488" s="16"/>
      <c r="I488" s="16"/>
      <c r="J488" s="16"/>
      <c r="K488" s="16"/>
      <c r="L488" s="73"/>
      <c r="M488" s="73"/>
      <c r="N488" s="73"/>
      <c r="O488" s="73"/>
      <c r="P488" s="73"/>
      <c r="Q488" s="73"/>
      <c r="R488" s="73"/>
      <c r="S488" s="73">
        <v>1.25</v>
      </c>
      <c r="T488" s="73"/>
      <c r="U488" s="73"/>
      <c r="V488" s="73">
        <v>20</v>
      </c>
      <c r="W488" s="73">
        <v>1.25</v>
      </c>
      <c r="X488" s="73"/>
      <c r="Y488" s="73"/>
      <c r="Z488" s="73"/>
      <c r="AA488" s="73">
        <v>2.5</v>
      </c>
      <c r="AB488" s="74">
        <v>6</v>
      </c>
      <c r="AC488" s="75">
        <v>5</v>
      </c>
      <c r="AD488" s="74"/>
      <c r="AE488" s="75"/>
      <c r="AF488" s="5"/>
      <c r="AG488" s="8"/>
      <c r="AH488" s="8"/>
      <c r="AI488" s="8"/>
      <c r="AJ488" s="8"/>
      <c r="AK488" s="8"/>
      <c r="AL488" s="8"/>
      <c r="AM488" s="8"/>
      <c r="AN488" s="8"/>
      <c r="AO488" s="76">
        <v>-73.084228331999952</v>
      </c>
      <c r="AP488" s="76">
        <v>6.8147345770000243</v>
      </c>
      <c r="AQ488" s="13"/>
      <c r="AR488" s="64">
        <f t="shared" si="76"/>
        <v>2.5140277777777778</v>
      </c>
      <c r="AS488" s="14">
        <f t="shared" si="77"/>
        <v>0.33733224128748851</v>
      </c>
    </row>
    <row r="489" spans="1:45" ht="23.25" customHeight="1" x14ac:dyDescent="0.25">
      <c r="A489" s="79"/>
      <c r="B489" s="2"/>
      <c r="C489" s="113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  <c r="AH489" s="114"/>
      <c r="AI489" s="114"/>
      <c r="AJ489" s="114"/>
      <c r="AK489" s="114"/>
      <c r="AL489" s="114"/>
      <c r="AM489" s="114"/>
      <c r="AN489" s="114"/>
      <c r="AO489" s="114"/>
      <c r="AP489" s="115"/>
      <c r="AQ489" s="78"/>
      <c r="AR489" s="7">
        <f>SUM(AR483:AR488)</f>
        <v>4.868231481481482</v>
      </c>
      <c r="AS489" s="51">
        <f>SUM(AS483:AS488)</f>
        <v>0.65321928869300616</v>
      </c>
    </row>
    <row r="490" spans="1:45" ht="34.5" customHeight="1" x14ac:dyDescent="0.25"/>
    <row r="491" spans="1:45" ht="43.5" customHeight="1" x14ac:dyDescent="0.25"/>
    <row r="492" spans="1:45" ht="33.75" customHeight="1" x14ac:dyDescent="0.25">
      <c r="A492" s="126" t="s">
        <v>31</v>
      </c>
      <c r="B492" s="126" t="s">
        <v>32</v>
      </c>
      <c r="C492" s="127" t="s">
        <v>0</v>
      </c>
      <c r="D492" s="128" t="s">
        <v>1</v>
      </c>
      <c r="E492" s="128" t="s">
        <v>2</v>
      </c>
      <c r="F492" s="129" t="s">
        <v>3</v>
      </c>
      <c r="G492" s="116" t="s">
        <v>4</v>
      </c>
      <c r="H492" s="124" t="s">
        <v>493</v>
      </c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  <c r="AB492" s="116" t="s">
        <v>6</v>
      </c>
      <c r="AC492" s="116" t="s">
        <v>7</v>
      </c>
      <c r="AD492" s="124" t="s">
        <v>8</v>
      </c>
      <c r="AE492" s="124" t="s">
        <v>9</v>
      </c>
      <c r="AF492" s="124"/>
      <c r="AG492" s="124"/>
      <c r="AH492" s="124"/>
      <c r="AI492" s="124"/>
      <c r="AJ492" s="124"/>
      <c r="AK492" s="124"/>
      <c r="AL492" s="124"/>
      <c r="AM492" s="124"/>
      <c r="AN492" s="124" t="s">
        <v>30</v>
      </c>
      <c r="AO492" s="125" t="s">
        <v>10</v>
      </c>
      <c r="AP492" s="125"/>
      <c r="AQ492" s="116" t="s">
        <v>11</v>
      </c>
      <c r="AR492" s="116" t="s">
        <v>12</v>
      </c>
      <c r="AS492" s="116" t="s">
        <v>13</v>
      </c>
    </row>
    <row r="493" spans="1:45" ht="63.75" customHeight="1" x14ac:dyDescent="0.25">
      <c r="A493" s="126"/>
      <c r="B493" s="126"/>
      <c r="C493" s="127"/>
      <c r="D493" s="128"/>
      <c r="E493" s="128"/>
      <c r="F493" s="129"/>
      <c r="G493" s="116"/>
      <c r="H493" s="19" t="s">
        <v>326</v>
      </c>
      <c r="I493" s="19" t="s">
        <v>69</v>
      </c>
      <c r="J493" s="19" t="s">
        <v>327</v>
      </c>
      <c r="K493" s="19" t="s">
        <v>70</v>
      </c>
      <c r="L493" s="19" t="s">
        <v>328</v>
      </c>
      <c r="M493" s="19" t="s">
        <v>71</v>
      </c>
      <c r="N493" s="19" t="s">
        <v>329</v>
      </c>
      <c r="O493" s="19" t="s">
        <v>72</v>
      </c>
      <c r="P493" s="19" t="s">
        <v>73</v>
      </c>
      <c r="Q493" s="19" t="s">
        <v>330</v>
      </c>
      <c r="R493" s="19" t="s">
        <v>331</v>
      </c>
      <c r="S493" s="19" t="s">
        <v>121</v>
      </c>
      <c r="T493" s="19" t="s">
        <v>16</v>
      </c>
      <c r="U493" s="19" t="s">
        <v>332</v>
      </c>
      <c r="V493" s="19" t="s">
        <v>122</v>
      </c>
      <c r="W493" s="19" t="s">
        <v>333</v>
      </c>
      <c r="X493" s="19" t="s">
        <v>170</v>
      </c>
      <c r="Y493" s="19" t="s">
        <v>152</v>
      </c>
      <c r="Z493" s="19" t="s">
        <v>14</v>
      </c>
      <c r="AA493" s="19" t="s">
        <v>334</v>
      </c>
      <c r="AB493" s="116"/>
      <c r="AC493" s="116"/>
      <c r="AD493" s="124"/>
      <c r="AE493" s="19" t="s">
        <v>19</v>
      </c>
      <c r="AF493" s="19" t="s">
        <v>335</v>
      </c>
      <c r="AG493" s="19" t="s">
        <v>336</v>
      </c>
      <c r="AH493" s="19" t="s">
        <v>337</v>
      </c>
      <c r="AI493" s="19" t="s">
        <v>21</v>
      </c>
      <c r="AJ493" s="19" t="s">
        <v>338</v>
      </c>
      <c r="AK493" s="19" t="s">
        <v>192</v>
      </c>
      <c r="AL493" s="19" t="s">
        <v>193</v>
      </c>
      <c r="AM493" s="19" t="s">
        <v>339</v>
      </c>
      <c r="AN493" s="124"/>
      <c r="AO493" s="2" t="s">
        <v>24</v>
      </c>
      <c r="AP493" s="2" t="s">
        <v>23</v>
      </c>
      <c r="AQ493" s="116"/>
      <c r="AR493" s="116"/>
      <c r="AS493" s="116"/>
    </row>
    <row r="494" spans="1:45" ht="26.25" customHeight="1" x14ac:dyDescent="0.25">
      <c r="A494" s="117">
        <v>4</v>
      </c>
      <c r="B494" s="118">
        <v>4</v>
      </c>
      <c r="C494" s="119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1"/>
      <c r="AP494" s="121"/>
      <c r="AQ494" s="34">
        <v>1.1000000000000001</v>
      </c>
      <c r="AR494" s="5"/>
      <c r="AS494" s="6"/>
    </row>
    <row r="495" spans="1:45" ht="27.75" customHeight="1" x14ac:dyDescent="0.25">
      <c r="A495" s="117"/>
      <c r="B495" s="118"/>
      <c r="C495" s="122" t="s">
        <v>483</v>
      </c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  <c r="AA495" s="123"/>
      <c r="AB495" s="123"/>
      <c r="AC495" s="123"/>
      <c r="AD495" s="123"/>
      <c r="AE495" s="123"/>
      <c r="AF495" s="123"/>
      <c r="AG495" s="123"/>
      <c r="AH495" s="123"/>
      <c r="AI495" s="123"/>
      <c r="AJ495" s="123"/>
      <c r="AK495" s="123"/>
      <c r="AL495" s="123"/>
      <c r="AM495" s="123"/>
      <c r="AN495" s="123"/>
      <c r="AO495" s="17"/>
      <c r="AP495" s="18"/>
      <c r="AQ495" s="7"/>
      <c r="AR495" s="8"/>
      <c r="AS495" s="4"/>
    </row>
    <row r="496" spans="1:45" ht="36" customHeight="1" x14ac:dyDescent="0.25">
      <c r="A496" s="117"/>
      <c r="B496" s="118"/>
      <c r="C496" s="1">
        <v>1</v>
      </c>
      <c r="D496" s="70" t="s">
        <v>436</v>
      </c>
      <c r="E496" s="8"/>
      <c r="F496" s="72">
        <v>127.9954</v>
      </c>
      <c r="G496" s="15"/>
      <c r="H496" s="16"/>
      <c r="I496" s="16"/>
      <c r="J496" s="16"/>
      <c r="K496" s="16"/>
      <c r="L496" s="73"/>
      <c r="M496" s="73">
        <v>0.5</v>
      </c>
      <c r="N496" s="73"/>
      <c r="O496" s="73"/>
      <c r="P496" s="73"/>
      <c r="Q496" s="73"/>
      <c r="R496" s="73"/>
      <c r="S496" s="73">
        <v>0.5</v>
      </c>
      <c r="T496" s="73"/>
      <c r="U496" s="73"/>
      <c r="V496" s="73">
        <v>1</v>
      </c>
      <c r="W496" s="73"/>
      <c r="X496" s="73">
        <v>3.5</v>
      </c>
      <c r="Y496" s="73"/>
      <c r="Z496" s="73"/>
      <c r="AA496" s="73"/>
      <c r="AB496" s="74">
        <v>13</v>
      </c>
      <c r="AC496" s="75">
        <v>5</v>
      </c>
      <c r="AD496" s="74"/>
      <c r="AE496" s="75">
        <v>30</v>
      </c>
      <c r="AF496" s="5"/>
      <c r="AG496" s="8"/>
      <c r="AH496" s="8"/>
      <c r="AI496" s="8"/>
      <c r="AJ496" s="8"/>
      <c r="AK496" s="8"/>
      <c r="AL496" s="8"/>
      <c r="AM496" s="8"/>
      <c r="AN496" s="8"/>
      <c r="AO496" s="76">
        <v>-73.074316999999994</v>
      </c>
      <c r="AP496" s="76">
        <v>6.8085209999999998</v>
      </c>
      <c r="AQ496" s="13"/>
      <c r="AR496" s="64">
        <f t="shared" ref="AR496" si="78">$H496*0.1+$I496*0.1+$J496*0.1+$K496*0.1+$L496*0.1+$M496*0.1+$N496*0.1+$P496*0.1+$O496*0.1+$Q496*0.1+$R496*0.1+$S496*0.1+$T496*0.1+$U496*0.1+$V496*0.1+$W496*0.1+$X496*0.1+$Y496*0.1+$Z496*0.0001+$AA496*0.1+$AB496*(130/(3600*24))+$AC496*0.001+$AE496*0.0006+$AF496*0.002+$AG496*0.0006+$AH496*0.0002+$AI496*0.0002+$AJ496*0.000004+$AN496*0.0004</f>
        <v>0.59256018518518527</v>
      </c>
      <c r="AS496" s="14">
        <f>AR496/AQ494</f>
        <v>0.53869107744107747</v>
      </c>
    </row>
    <row r="497" spans="1:45" ht="23.25" customHeight="1" x14ac:dyDescent="0.25">
      <c r="A497" s="79"/>
      <c r="B497" s="2"/>
      <c r="C497" s="113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5"/>
      <c r="AQ497" s="78"/>
      <c r="AR497" s="7">
        <f>SUM(AR496)</f>
        <v>0.59256018518518527</v>
      </c>
      <c r="AS497" s="51">
        <f>SUM(AS496)</f>
        <v>0.53869107744107747</v>
      </c>
    </row>
    <row r="498" spans="1:45" ht="36.75" customHeight="1" x14ac:dyDescent="0.25"/>
    <row r="499" spans="1:45" ht="40.5" customHeight="1" x14ac:dyDescent="0.25"/>
    <row r="500" spans="1:45" ht="33.75" customHeight="1" x14ac:dyDescent="0.25">
      <c r="A500" s="126" t="s">
        <v>31</v>
      </c>
      <c r="B500" s="126" t="s">
        <v>32</v>
      </c>
      <c r="C500" s="127" t="s">
        <v>0</v>
      </c>
      <c r="D500" s="128" t="s">
        <v>1</v>
      </c>
      <c r="E500" s="128" t="s">
        <v>2</v>
      </c>
      <c r="F500" s="129" t="s">
        <v>3</v>
      </c>
      <c r="G500" s="116" t="s">
        <v>4</v>
      </c>
      <c r="H500" s="124" t="s">
        <v>5</v>
      </c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  <c r="AB500" s="116" t="s">
        <v>6</v>
      </c>
      <c r="AC500" s="116" t="s">
        <v>7</v>
      </c>
      <c r="AD500" s="124" t="s">
        <v>8</v>
      </c>
      <c r="AE500" s="124" t="s">
        <v>9</v>
      </c>
      <c r="AF500" s="124"/>
      <c r="AG500" s="124"/>
      <c r="AH500" s="124"/>
      <c r="AI500" s="124"/>
      <c r="AJ500" s="124"/>
      <c r="AK500" s="124"/>
      <c r="AL500" s="124"/>
      <c r="AM500" s="124"/>
      <c r="AN500" s="124" t="s">
        <v>30</v>
      </c>
      <c r="AO500" s="125" t="s">
        <v>10</v>
      </c>
      <c r="AP500" s="125"/>
      <c r="AQ500" s="116" t="s">
        <v>11</v>
      </c>
      <c r="AR500" s="116" t="s">
        <v>12</v>
      </c>
      <c r="AS500" s="116" t="s">
        <v>13</v>
      </c>
    </row>
    <row r="501" spans="1:45" ht="63.75" customHeight="1" x14ac:dyDescent="0.25">
      <c r="A501" s="126"/>
      <c r="B501" s="126"/>
      <c r="C501" s="127"/>
      <c r="D501" s="128"/>
      <c r="E501" s="128"/>
      <c r="F501" s="129"/>
      <c r="G501" s="116"/>
      <c r="H501" s="19" t="s">
        <v>326</v>
      </c>
      <c r="I501" s="19" t="s">
        <v>69</v>
      </c>
      <c r="J501" s="19" t="s">
        <v>327</v>
      </c>
      <c r="K501" s="19" t="s">
        <v>70</v>
      </c>
      <c r="L501" s="19" t="s">
        <v>328</v>
      </c>
      <c r="M501" s="19" t="s">
        <v>71</v>
      </c>
      <c r="N501" s="19" t="s">
        <v>329</v>
      </c>
      <c r="O501" s="19" t="s">
        <v>72</v>
      </c>
      <c r="P501" s="19" t="s">
        <v>73</v>
      </c>
      <c r="Q501" s="19" t="s">
        <v>330</v>
      </c>
      <c r="R501" s="19" t="s">
        <v>331</v>
      </c>
      <c r="S501" s="19" t="s">
        <v>121</v>
      </c>
      <c r="T501" s="19" t="s">
        <v>16</v>
      </c>
      <c r="U501" s="19" t="s">
        <v>332</v>
      </c>
      <c r="V501" s="19" t="s">
        <v>122</v>
      </c>
      <c r="W501" s="19" t="s">
        <v>333</v>
      </c>
      <c r="X501" s="19" t="s">
        <v>170</v>
      </c>
      <c r="Y501" s="19" t="s">
        <v>152</v>
      </c>
      <c r="Z501" s="19" t="s">
        <v>14</v>
      </c>
      <c r="AA501" s="19" t="s">
        <v>334</v>
      </c>
      <c r="AB501" s="116"/>
      <c r="AC501" s="116"/>
      <c r="AD501" s="124"/>
      <c r="AE501" s="19" t="s">
        <v>19</v>
      </c>
      <c r="AF501" s="19" t="s">
        <v>335</v>
      </c>
      <c r="AG501" s="19" t="s">
        <v>336</v>
      </c>
      <c r="AH501" s="19" t="s">
        <v>337</v>
      </c>
      <c r="AI501" s="19" t="s">
        <v>21</v>
      </c>
      <c r="AJ501" s="19" t="s">
        <v>338</v>
      </c>
      <c r="AK501" s="19" t="s">
        <v>192</v>
      </c>
      <c r="AL501" s="19" t="s">
        <v>193</v>
      </c>
      <c r="AM501" s="19" t="s">
        <v>339</v>
      </c>
      <c r="AN501" s="124"/>
      <c r="AO501" s="2" t="s">
        <v>24</v>
      </c>
      <c r="AP501" s="2" t="s">
        <v>23</v>
      </c>
      <c r="AQ501" s="116"/>
      <c r="AR501" s="116"/>
      <c r="AS501" s="116"/>
    </row>
    <row r="502" spans="1:45" ht="26.25" customHeight="1" x14ac:dyDescent="0.25">
      <c r="A502" s="117">
        <v>5</v>
      </c>
      <c r="B502" s="118">
        <v>5</v>
      </c>
      <c r="C502" s="119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1"/>
      <c r="AP502" s="121"/>
      <c r="AQ502" s="34">
        <v>0.60957634545822859</v>
      </c>
      <c r="AR502" s="5"/>
      <c r="AS502" s="6"/>
    </row>
    <row r="503" spans="1:45" ht="27.75" customHeight="1" x14ac:dyDescent="0.25">
      <c r="A503" s="117"/>
      <c r="B503" s="118"/>
      <c r="C503" s="122" t="s">
        <v>484</v>
      </c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  <c r="AA503" s="123"/>
      <c r="AB503" s="123"/>
      <c r="AC503" s="123"/>
      <c r="AD503" s="123"/>
      <c r="AE503" s="123"/>
      <c r="AF503" s="123"/>
      <c r="AG503" s="123"/>
      <c r="AH503" s="123"/>
      <c r="AI503" s="123"/>
      <c r="AJ503" s="123"/>
      <c r="AK503" s="123"/>
      <c r="AL503" s="123"/>
      <c r="AM503" s="123"/>
      <c r="AN503" s="123"/>
      <c r="AO503" s="17"/>
      <c r="AP503" s="18"/>
      <c r="AQ503" s="7"/>
      <c r="AR503" s="8"/>
      <c r="AS503" s="4"/>
    </row>
    <row r="504" spans="1:45" ht="36" customHeight="1" x14ac:dyDescent="0.25">
      <c r="A504" s="117"/>
      <c r="B504" s="118"/>
      <c r="C504" s="1">
        <v>1</v>
      </c>
      <c r="D504" s="70" t="s">
        <v>439</v>
      </c>
      <c r="E504" s="8"/>
      <c r="F504" s="72">
        <v>1</v>
      </c>
      <c r="G504" s="15"/>
      <c r="H504" s="16"/>
      <c r="I504" s="16"/>
      <c r="J504" s="16"/>
      <c r="K504" s="16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>
        <v>1</v>
      </c>
      <c r="Z504" s="73"/>
      <c r="AA504" s="73"/>
      <c r="AB504" s="74">
        <v>4</v>
      </c>
      <c r="AC504" s="75">
        <v>2</v>
      </c>
      <c r="AD504" s="74"/>
      <c r="AE504" s="75">
        <v>10</v>
      </c>
      <c r="AF504" s="5"/>
      <c r="AG504" s="8"/>
      <c r="AH504" s="8"/>
      <c r="AI504" s="8"/>
      <c r="AJ504" s="8"/>
      <c r="AK504" s="8"/>
      <c r="AL504" s="8"/>
      <c r="AM504" s="8"/>
      <c r="AN504" s="8"/>
      <c r="AO504" s="76">
        <v>-73.071558999999993</v>
      </c>
      <c r="AP504" s="76">
        <v>6.8115727000000001</v>
      </c>
      <c r="AQ504" s="13"/>
      <c r="AR504" s="64">
        <f t="shared" ref="AR504" si="79">$H504*0.1+$I504*0.1+$J504*0.1+$K504*0.1+$L504*0.1+$M504*0.1+$N504*0.1+$P504*0.1+$O504*0.1+$Q504*0.1+$R504*0.1+$S504*0.1+$T504*0.1+$U504*0.1+$V504*0.1+$W504*0.1+$X504*0.1+$Y504*0.1+$Z504*0.0001+$AA504*0.1+$AB504*(130/(3600*24))+$AC504*0.001+$AE504*0.0006+$AF504*0.002+$AG504*0.0006+$AH504*0.0002+$AI504*0.0002+$AJ504*0.000004+$AN504*0.0004</f>
        <v>0.11401851851851853</v>
      </c>
      <c r="AS504" s="14">
        <f>AR504/AQ502</f>
        <v>0.18704551016133825</v>
      </c>
    </row>
    <row r="505" spans="1:45" ht="23.25" customHeight="1" x14ac:dyDescent="0.25">
      <c r="A505" s="79"/>
      <c r="B505" s="2"/>
      <c r="C505" s="113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  <c r="AA505" s="114"/>
      <c r="AB505" s="114"/>
      <c r="AC505" s="114"/>
      <c r="AD505" s="114"/>
      <c r="AE505" s="114"/>
      <c r="AF505" s="114"/>
      <c r="AG505" s="114"/>
      <c r="AH505" s="114"/>
      <c r="AI505" s="114"/>
      <c r="AJ505" s="114"/>
      <c r="AK505" s="114"/>
      <c r="AL505" s="114"/>
      <c r="AM505" s="114"/>
      <c r="AN505" s="114"/>
      <c r="AO505" s="114"/>
      <c r="AP505" s="115"/>
      <c r="AQ505" s="78"/>
      <c r="AR505" s="7">
        <f>SUM(AR504)</f>
        <v>0.11401851851851853</v>
      </c>
      <c r="AS505" s="81">
        <f>SUM(AS504)</f>
        <v>0.18704551016133825</v>
      </c>
    </row>
    <row r="506" spans="1:45" ht="39.75" customHeight="1" x14ac:dyDescent="0.25"/>
    <row r="507" spans="1:45" ht="39.75" customHeight="1" x14ac:dyDescent="0.25"/>
    <row r="508" spans="1:45" ht="33.75" customHeight="1" x14ac:dyDescent="0.25">
      <c r="A508" s="126" t="s">
        <v>31</v>
      </c>
      <c r="B508" s="126" t="s">
        <v>32</v>
      </c>
      <c r="C508" s="127" t="s">
        <v>0</v>
      </c>
      <c r="D508" s="128" t="s">
        <v>1</v>
      </c>
      <c r="E508" s="128" t="s">
        <v>2</v>
      </c>
      <c r="F508" s="129" t="s">
        <v>3</v>
      </c>
      <c r="G508" s="116" t="s">
        <v>4</v>
      </c>
      <c r="H508" s="124" t="s">
        <v>492</v>
      </c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  <c r="AA508" s="124"/>
      <c r="AB508" s="116" t="s">
        <v>6</v>
      </c>
      <c r="AC508" s="116" t="s">
        <v>7</v>
      </c>
      <c r="AD508" s="124" t="s">
        <v>8</v>
      </c>
      <c r="AE508" s="124" t="s">
        <v>9</v>
      </c>
      <c r="AF508" s="124"/>
      <c r="AG508" s="124"/>
      <c r="AH508" s="124"/>
      <c r="AI508" s="124"/>
      <c r="AJ508" s="124"/>
      <c r="AK508" s="124"/>
      <c r="AL508" s="124"/>
      <c r="AM508" s="124"/>
      <c r="AN508" s="124" t="s">
        <v>30</v>
      </c>
      <c r="AO508" s="125" t="s">
        <v>10</v>
      </c>
      <c r="AP508" s="125"/>
      <c r="AQ508" s="116" t="s">
        <v>11</v>
      </c>
      <c r="AR508" s="116" t="s">
        <v>12</v>
      </c>
      <c r="AS508" s="116" t="s">
        <v>13</v>
      </c>
    </row>
    <row r="509" spans="1:45" ht="63.75" customHeight="1" x14ac:dyDescent="0.25">
      <c r="A509" s="126"/>
      <c r="B509" s="126"/>
      <c r="C509" s="127"/>
      <c r="D509" s="128"/>
      <c r="E509" s="128"/>
      <c r="F509" s="129"/>
      <c r="G509" s="116"/>
      <c r="H509" s="19" t="s">
        <v>326</v>
      </c>
      <c r="I509" s="19" t="s">
        <v>69</v>
      </c>
      <c r="J509" s="19" t="s">
        <v>327</v>
      </c>
      <c r="K509" s="19" t="s">
        <v>70</v>
      </c>
      <c r="L509" s="19" t="s">
        <v>328</v>
      </c>
      <c r="M509" s="19" t="s">
        <v>71</v>
      </c>
      <c r="N509" s="19" t="s">
        <v>329</v>
      </c>
      <c r="O509" s="19" t="s">
        <v>72</v>
      </c>
      <c r="P509" s="19" t="s">
        <v>73</v>
      </c>
      <c r="Q509" s="19" t="s">
        <v>330</v>
      </c>
      <c r="R509" s="19" t="s">
        <v>331</v>
      </c>
      <c r="S509" s="19" t="s">
        <v>121</v>
      </c>
      <c r="T509" s="19" t="s">
        <v>16</v>
      </c>
      <c r="U509" s="19" t="s">
        <v>332</v>
      </c>
      <c r="V509" s="19" t="s">
        <v>122</v>
      </c>
      <c r="W509" s="19" t="s">
        <v>333</v>
      </c>
      <c r="X509" s="19" t="s">
        <v>170</v>
      </c>
      <c r="Y509" s="19" t="s">
        <v>152</v>
      </c>
      <c r="Z509" s="19" t="s">
        <v>14</v>
      </c>
      <c r="AA509" s="19" t="s">
        <v>334</v>
      </c>
      <c r="AB509" s="116"/>
      <c r="AC509" s="116"/>
      <c r="AD509" s="124"/>
      <c r="AE509" s="19" t="s">
        <v>19</v>
      </c>
      <c r="AF509" s="19" t="s">
        <v>335</v>
      </c>
      <c r="AG509" s="19" t="s">
        <v>336</v>
      </c>
      <c r="AH509" s="19" t="s">
        <v>337</v>
      </c>
      <c r="AI509" s="19" t="s">
        <v>21</v>
      </c>
      <c r="AJ509" s="19" t="s">
        <v>338</v>
      </c>
      <c r="AK509" s="19" t="s">
        <v>192</v>
      </c>
      <c r="AL509" s="19" t="s">
        <v>193</v>
      </c>
      <c r="AM509" s="19" t="s">
        <v>339</v>
      </c>
      <c r="AN509" s="124"/>
      <c r="AO509" s="2" t="s">
        <v>24</v>
      </c>
      <c r="AP509" s="2" t="s">
        <v>23</v>
      </c>
      <c r="AQ509" s="116"/>
      <c r="AR509" s="116"/>
      <c r="AS509" s="116"/>
    </row>
    <row r="510" spans="1:45" ht="26.25" customHeight="1" x14ac:dyDescent="0.25">
      <c r="A510" s="117">
        <v>6</v>
      </c>
      <c r="B510" s="118">
        <v>6</v>
      </c>
      <c r="C510" s="119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1"/>
      <c r="AP510" s="121"/>
      <c r="AQ510" s="34">
        <v>2.7406170815968558</v>
      </c>
      <c r="AR510" s="5"/>
      <c r="AS510" s="6"/>
    </row>
    <row r="511" spans="1:45" ht="27.75" customHeight="1" x14ac:dyDescent="0.25">
      <c r="A511" s="117"/>
      <c r="B511" s="118"/>
      <c r="C511" s="122" t="s">
        <v>485</v>
      </c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  <c r="AA511" s="123"/>
      <c r="AB511" s="123"/>
      <c r="AC511" s="123"/>
      <c r="AD511" s="123"/>
      <c r="AE511" s="123"/>
      <c r="AF511" s="123"/>
      <c r="AG511" s="123"/>
      <c r="AH511" s="123"/>
      <c r="AI511" s="123"/>
      <c r="AJ511" s="123"/>
      <c r="AK511" s="123"/>
      <c r="AL511" s="123"/>
      <c r="AM511" s="123"/>
      <c r="AN511" s="123"/>
      <c r="AO511" s="17"/>
      <c r="AP511" s="18"/>
      <c r="AQ511" s="7"/>
      <c r="AR511" s="8"/>
      <c r="AS511" s="4"/>
    </row>
    <row r="512" spans="1:45" ht="36" customHeight="1" x14ac:dyDescent="0.25">
      <c r="A512" s="117"/>
      <c r="B512" s="118"/>
      <c r="C512" s="1">
        <v>1</v>
      </c>
      <c r="D512" s="70" t="s">
        <v>440</v>
      </c>
      <c r="E512" s="8"/>
      <c r="F512" s="72">
        <v>6.5</v>
      </c>
      <c r="G512" s="15"/>
      <c r="H512" s="16"/>
      <c r="I512" s="16">
        <v>0.75</v>
      </c>
      <c r="J512" s="16"/>
      <c r="K512" s="16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4">
        <v>6</v>
      </c>
      <c r="AC512" s="75">
        <v>20</v>
      </c>
      <c r="AD512" s="74"/>
      <c r="AE512" s="75"/>
      <c r="AF512" s="5"/>
      <c r="AG512" s="8"/>
      <c r="AH512" s="8"/>
      <c r="AI512" s="8"/>
      <c r="AJ512" s="8"/>
      <c r="AK512" s="8"/>
      <c r="AL512" s="8"/>
      <c r="AM512" s="8"/>
      <c r="AN512" s="8"/>
      <c r="AO512" s="76">
        <v>-73.072745753999982</v>
      </c>
      <c r="AP512" s="76">
        <v>6.8125198820000614</v>
      </c>
      <c r="AQ512" s="13"/>
      <c r="AR512" s="64">
        <f t="shared" ref="AR512:AR536" si="80">$H512*0.1+$I512*0.1+$J512*0.1+$K512*0.1+$L512*0.1+$M512*0.1+$N512*0.1+$P512*0.1+$O512*0.1+$Q512*0.1+$R512*0.1+$S512*0.1+$T512*0.1+$U512*0.1+$V512*0.1+$W512*0.1+$X512*0.1+$Y512*0.1+$Z512*0.0001+$AA512*0.1+$AB512*(130/(3600*24))+$AC512*0.001+$AE512*0.0006+$AF512*0.002+$AG512*0.0006+$AH512*0.0002+$AI512*0.0002+$AJ512*0.000004+$AN512*0.0004</f>
        <v>0.10402777777777779</v>
      </c>
      <c r="AS512" s="14">
        <f>AR512/$AQ$510</f>
        <v>3.795779369409924E-2</v>
      </c>
    </row>
    <row r="513" spans="1:45" ht="36" customHeight="1" x14ac:dyDescent="0.25">
      <c r="A513" s="117"/>
      <c r="B513" s="118"/>
      <c r="C513" s="1">
        <v>2</v>
      </c>
      <c r="D513" s="70" t="s">
        <v>441</v>
      </c>
      <c r="E513" s="8"/>
      <c r="F513" s="72">
        <v>1.5</v>
      </c>
      <c r="G513" s="15"/>
      <c r="H513" s="16"/>
      <c r="I513" s="16">
        <v>0.125</v>
      </c>
      <c r="J513" s="16"/>
      <c r="K513" s="16"/>
      <c r="L513" s="73"/>
      <c r="M513" s="73"/>
      <c r="N513" s="73"/>
      <c r="O513" s="73"/>
      <c r="P513" s="73"/>
      <c r="Q513" s="73"/>
      <c r="R513" s="73">
        <f>0.25/2</f>
        <v>0.125</v>
      </c>
      <c r="S513" s="73"/>
      <c r="T513" s="73"/>
      <c r="U513" s="73"/>
      <c r="V513" s="73"/>
      <c r="W513" s="73"/>
      <c r="X513" s="73"/>
      <c r="Y513" s="73"/>
      <c r="Z513" s="73"/>
      <c r="AA513" s="73"/>
      <c r="AB513" s="74">
        <v>7</v>
      </c>
      <c r="AC513" s="75">
        <v>12</v>
      </c>
      <c r="AD513" s="74"/>
      <c r="AE513" s="75"/>
      <c r="AF513" s="5"/>
      <c r="AG513" s="8"/>
      <c r="AH513" s="8"/>
      <c r="AI513" s="8"/>
      <c r="AJ513" s="8"/>
      <c r="AK513" s="8"/>
      <c r="AL513" s="8"/>
      <c r="AM513" s="8"/>
      <c r="AN513" s="8"/>
      <c r="AO513" s="76">
        <v>-73.072104343999968</v>
      </c>
      <c r="AP513" s="76">
        <v>6.813747969000076</v>
      </c>
      <c r="AQ513" s="13"/>
      <c r="AR513" s="64">
        <f t="shared" si="80"/>
        <v>4.7532407407407412E-2</v>
      </c>
      <c r="AS513" s="14">
        <f t="shared" ref="AS513:AS536" si="81">AR513/$AQ$510</f>
        <v>1.7343687933124918E-2</v>
      </c>
    </row>
    <row r="514" spans="1:45" ht="36" customHeight="1" x14ac:dyDescent="0.25">
      <c r="A514" s="117"/>
      <c r="B514" s="118"/>
      <c r="C514" s="1">
        <v>3</v>
      </c>
      <c r="D514" s="70" t="s">
        <v>442</v>
      </c>
      <c r="E514" s="8"/>
      <c r="F514" s="72">
        <v>0.25</v>
      </c>
      <c r="G514" s="15"/>
      <c r="H514" s="16"/>
      <c r="I514" s="16"/>
      <c r="J514" s="16"/>
      <c r="K514" s="16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  <c r="AB514" s="74">
        <v>2</v>
      </c>
      <c r="AC514" s="75">
        <v>4</v>
      </c>
      <c r="AD514" s="74"/>
      <c r="AE514" s="75"/>
      <c r="AF514" s="5"/>
      <c r="AG514" s="8"/>
      <c r="AH514" s="8"/>
      <c r="AI514" s="8"/>
      <c r="AJ514" s="8"/>
      <c r="AK514" s="8"/>
      <c r="AL514" s="8"/>
      <c r="AM514" s="8"/>
      <c r="AN514" s="8"/>
      <c r="AO514" s="76">
        <v>-73.074085123999964</v>
      </c>
      <c r="AP514" s="76">
        <v>6.8159413480000239</v>
      </c>
      <c r="AQ514" s="13"/>
      <c r="AR514" s="64">
        <f t="shared" si="80"/>
        <v>7.0092592592592593E-3</v>
      </c>
      <c r="AS514" s="14">
        <f t="shared" si="81"/>
        <v>2.5575478261177678E-3</v>
      </c>
    </row>
    <row r="515" spans="1:45" ht="36" customHeight="1" x14ac:dyDescent="0.25">
      <c r="A515" s="117"/>
      <c r="B515" s="118"/>
      <c r="C515" s="1">
        <v>4</v>
      </c>
      <c r="D515" s="70" t="s">
        <v>443</v>
      </c>
      <c r="E515" s="8"/>
      <c r="F515" s="72">
        <v>1.2</v>
      </c>
      <c r="G515" s="15"/>
      <c r="H515" s="16"/>
      <c r="I515" s="16">
        <v>0.125</v>
      </c>
      <c r="J515" s="16"/>
      <c r="K515" s="16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>
        <v>0.125</v>
      </c>
      <c r="W515" s="73"/>
      <c r="X515" s="73"/>
      <c r="Y515" s="73"/>
      <c r="Z515" s="73"/>
      <c r="AA515" s="73"/>
      <c r="AB515" s="74">
        <v>5</v>
      </c>
      <c r="AC515" s="75">
        <v>3</v>
      </c>
      <c r="AD515" s="74"/>
      <c r="AE515" s="75"/>
      <c r="AF515" s="5"/>
      <c r="AG515" s="8"/>
      <c r="AH515" s="8"/>
      <c r="AI515" s="8"/>
      <c r="AJ515" s="8"/>
      <c r="AK515" s="8"/>
      <c r="AL515" s="8"/>
      <c r="AM515" s="8"/>
      <c r="AN515" s="8"/>
      <c r="AO515" s="76">
        <v>-73.068916886999943</v>
      </c>
      <c r="AP515" s="76">
        <v>6.8113560060000404</v>
      </c>
      <c r="AQ515" s="13"/>
      <c r="AR515" s="64">
        <f t="shared" si="80"/>
        <v>3.5523148148148151E-2</v>
      </c>
      <c r="AS515" s="14">
        <f t="shared" si="81"/>
        <v>1.296173346750438E-2</v>
      </c>
    </row>
    <row r="516" spans="1:45" ht="36" customHeight="1" x14ac:dyDescent="0.25">
      <c r="A516" s="117"/>
      <c r="B516" s="118"/>
      <c r="C516" s="1">
        <v>5</v>
      </c>
      <c r="D516" s="70" t="s">
        <v>444</v>
      </c>
      <c r="E516" s="8"/>
      <c r="F516" s="72">
        <v>6</v>
      </c>
      <c r="G516" s="15"/>
      <c r="H516" s="16"/>
      <c r="I516" s="16"/>
      <c r="J516" s="16"/>
      <c r="K516" s="16"/>
      <c r="L516" s="73"/>
      <c r="M516" s="73"/>
      <c r="N516" s="73"/>
      <c r="O516" s="73"/>
      <c r="P516" s="73"/>
      <c r="Q516" s="73"/>
      <c r="R516" s="73"/>
      <c r="S516" s="99">
        <f>0.25/2</f>
        <v>0.125</v>
      </c>
      <c r="T516" s="73"/>
      <c r="U516" s="73"/>
      <c r="V516" s="73">
        <v>0.125</v>
      </c>
      <c r="W516" s="73"/>
      <c r="X516" s="73"/>
      <c r="Y516" s="73"/>
      <c r="Z516" s="73"/>
      <c r="AA516" s="73"/>
      <c r="AB516" s="74">
        <v>3</v>
      </c>
      <c r="AC516" s="75">
        <v>3</v>
      </c>
      <c r="AD516" s="74"/>
      <c r="AE516" s="75"/>
      <c r="AF516" s="5"/>
      <c r="AG516" s="8"/>
      <c r="AH516" s="8"/>
      <c r="AI516" s="8"/>
      <c r="AJ516" s="8"/>
      <c r="AK516" s="8"/>
      <c r="AL516" s="8"/>
      <c r="AM516" s="8"/>
      <c r="AN516" s="8"/>
      <c r="AO516" s="76">
        <v>-73.073208136999938</v>
      </c>
      <c r="AP516" s="76">
        <v>6.8079890670000509</v>
      </c>
      <c r="AQ516" s="13"/>
      <c r="AR516" s="64">
        <f t="shared" si="80"/>
        <v>3.2513888888888891E-2</v>
      </c>
      <c r="AS516" s="14">
        <f t="shared" si="81"/>
        <v>1.1863710952988826E-2</v>
      </c>
    </row>
    <row r="517" spans="1:45" ht="36" customHeight="1" x14ac:dyDescent="0.25">
      <c r="A517" s="117"/>
      <c r="B517" s="118"/>
      <c r="C517" s="1">
        <v>6</v>
      </c>
      <c r="D517" s="70" t="s">
        <v>445</v>
      </c>
      <c r="E517" s="8"/>
      <c r="F517" s="72">
        <v>6</v>
      </c>
      <c r="G517" s="15"/>
      <c r="H517" s="16"/>
      <c r="I517" s="16">
        <v>0.5</v>
      </c>
      <c r="J517" s="16"/>
      <c r="K517" s="16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>
        <f>1.5/2</f>
        <v>0.75</v>
      </c>
      <c r="W517" s="73">
        <v>0.25</v>
      </c>
      <c r="X517" s="73"/>
      <c r="Y517" s="73"/>
      <c r="Z517" s="73"/>
      <c r="AA517" s="73"/>
      <c r="AB517" s="74">
        <v>8</v>
      </c>
      <c r="AC517" s="75">
        <v>13</v>
      </c>
      <c r="AD517" s="74"/>
      <c r="AE517" s="75"/>
      <c r="AF517" s="5"/>
      <c r="AG517" s="8"/>
      <c r="AH517" s="8"/>
      <c r="AI517" s="8"/>
      <c r="AJ517" s="8"/>
      <c r="AK517" s="8"/>
      <c r="AL517" s="8"/>
      <c r="AM517" s="8"/>
      <c r="AN517" s="8"/>
      <c r="AO517" s="76">
        <v>-73.071431000000004</v>
      </c>
      <c r="AP517" s="76">
        <v>6.8082969999999996</v>
      </c>
      <c r="AQ517" s="13"/>
      <c r="AR517" s="64">
        <f t="shared" si="80"/>
        <v>0.17503703703703705</v>
      </c>
      <c r="AS517" s="14">
        <f t="shared" si="81"/>
        <v>6.3867746505852419E-2</v>
      </c>
    </row>
    <row r="518" spans="1:45" ht="36" customHeight="1" x14ac:dyDescent="0.25">
      <c r="A518" s="117"/>
      <c r="B518" s="118"/>
      <c r="C518" s="1">
        <v>7</v>
      </c>
      <c r="D518" s="70" t="s">
        <v>445</v>
      </c>
      <c r="E518" s="8"/>
      <c r="F518" s="72">
        <v>1.4</v>
      </c>
      <c r="G518" s="15"/>
      <c r="H518" s="16"/>
      <c r="I518" s="16">
        <f>0.45/2</f>
        <v>0.22500000000000001</v>
      </c>
      <c r="J518" s="16"/>
      <c r="K518" s="16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  <c r="AB518" s="74">
        <v>7</v>
      </c>
      <c r="AC518" s="75">
        <v>13</v>
      </c>
      <c r="AD518" s="74"/>
      <c r="AE518" s="75"/>
      <c r="AF518" s="5"/>
      <c r="AG518" s="8"/>
      <c r="AH518" s="8"/>
      <c r="AI518" s="8"/>
      <c r="AJ518" s="8"/>
      <c r="AK518" s="8"/>
      <c r="AL518" s="8"/>
      <c r="AM518" s="8"/>
      <c r="AN518" s="8"/>
      <c r="AO518" s="76">
        <v>-73.067165000000003</v>
      </c>
      <c r="AP518" s="76">
        <v>6.8068860000000004</v>
      </c>
      <c r="AQ518" s="13"/>
      <c r="AR518" s="64">
        <f t="shared" si="80"/>
        <v>4.6032407407407411E-2</v>
      </c>
      <c r="AS518" s="14">
        <f t="shared" si="81"/>
        <v>1.6796365941274087E-2</v>
      </c>
    </row>
    <row r="519" spans="1:45" ht="36" customHeight="1" x14ac:dyDescent="0.25">
      <c r="A519" s="117"/>
      <c r="B519" s="118"/>
      <c r="C519" s="1">
        <v>8</v>
      </c>
      <c r="D519" s="70" t="s">
        <v>446</v>
      </c>
      <c r="E519" s="8"/>
      <c r="F519" s="72">
        <v>1</v>
      </c>
      <c r="G519" s="15"/>
      <c r="H519" s="16"/>
      <c r="I519" s="16">
        <f>0.15/2</f>
        <v>7.4999999999999997E-2</v>
      </c>
      <c r="J519" s="16"/>
      <c r="K519" s="16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  <c r="AB519" s="74">
        <v>11</v>
      </c>
      <c r="AC519" s="75">
        <v>10</v>
      </c>
      <c r="AD519" s="74"/>
      <c r="AE519" s="75"/>
      <c r="AF519" s="5"/>
      <c r="AG519" s="8"/>
      <c r="AH519" s="8"/>
      <c r="AI519" s="8"/>
      <c r="AJ519" s="8">
        <v>30</v>
      </c>
      <c r="AK519" s="8"/>
      <c r="AL519" s="8"/>
      <c r="AM519" s="8"/>
      <c r="AN519" s="8"/>
      <c r="AO519" s="76">
        <v>-73.068169082999987</v>
      </c>
      <c r="AP519" s="76">
        <v>6.8085271940000212</v>
      </c>
      <c r="AQ519" s="13"/>
      <c r="AR519" s="64">
        <f t="shared" si="80"/>
        <v>3.4170925925925931E-2</v>
      </c>
      <c r="AS519" s="14">
        <f t="shared" si="81"/>
        <v>1.24683328274433E-2</v>
      </c>
    </row>
    <row r="520" spans="1:45" ht="36" customHeight="1" x14ac:dyDescent="0.25">
      <c r="A520" s="117"/>
      <c r="B520" s="118"/>
      <c r="C520" s="1">
        <v>9</v>
      </c>
      <c r="D520" s="70" t="s">
        <v>447</v>
      </c>
      <c r="E520" s="8"/>
      <c r="F520" s="72">
        <v>7.4</v>
      </c>
      <c r="G520" s="15"/>
      <c r="H520" s="16"/>
      <c r="I520" s="16"/>
      <c r="J520" s="16"/>
      <c r="K520" s="16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>
        <v>0.5</v>
      </c>
      <c r="W520" s="73"/>
      <c r="X520" s="73"/>
      <c r="Y520" s="73"/>
      <c r="Z520" s="73"/>
      <c r="AA520" s="73"/>
      <c r="AB520" s="74">
        <v>5</v>
      </c>
      <c r="AC520" s="75"/>
      <c r="AD520" s="74"/>
      <c r="AE520" s="75"/>
      <c r="AF520" s="5"/>
      <c r="AG520" s="8"/>
      <c r="AH520" s="8"/>
      <c r="AI520" s="8"/>
      <c r="AJ520" s="8"/>
      <c r="AK520" s="8"/>
      <c r="AL520" s="8"/>
      <c r="AM520" s="8"/>
      <c r="AN520" s="8"/>
      <c r="AO520" s="76">
        <v>-73.06941166699994</v>
      </c>
      <c r="AP520" s="76">
        <v>6.8064150000000723</v>
      </c>
      <c r="AQ520" s="13"/>
      <c r="AR520" s="64">
        <f t="shared" si="80"/>
        <v>5.752314814814815E-2</v>
      </c>
      <c r="AS520" s="14">
        <f t="shared" si="81"/>
        <v>2.0989122681316554E-2</v>
      </c>
    </row>
    <row r="521" spans="1:45" ht="36" customHeight="1" x14ac:dyDescent="0.25">
      <c r="A521" s="117"/>
      <c r="B521" s="118"/>
      <c r="C521" s="1">
        <v>10</v>
      </c>
      <c r="D521" s="70" t="s">
        <v>448</v>
      </c>
      <c r="E521" s="8"/>
      <c r="F521" s="72">
        <v>7.4</v>
      </c>
      <c r="G521" s="15"/>
      <c r="H521" s="16"/>
      <c r="I521" s="16">
        <v>0.75</v>
      </c>
      <c r="J521" s="16"/>
      <c r="K521" s="16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>
        <f>1.5/2</f>
        <v>0.75</v>
      </c>
      <c r="W521" s="73"/>
      <c r="X521" s="73"/>
      <c r="Y521" s="73"/>
      <c r="Z521" s="73"/>
      <c r="AA521" s="73"/>
      <c r="AB521" s="74">
        <v>20</v>
      </c>
      <c r="AC521" s="75"/>
      <c r="AD521" s="74"/>
      <c r="AE521" s="75"/>
      <c r="AF521" s="5"/>
      <c r="AG521" s="8"/>
      <c r="AH521" s="8"/>
      <c r="AI521" s="8"/>
      <c r="AJ521" s="8">
        <v>30</v>
      </c>
      <c r="AK521" s="8"/>
      <c r="AL521" s="8"/>
      <c r="AM521" s="8"/>
      <c r="AN521" s="8"/>
      <c r="AO521" s="76">
        <v>-73.069359999999961</v>
      </c>
      <c r="AP521" s="76">
        <v>6.8064466670000456</v>
      </c>
      <c r="AQ521" s="13"/>
      <c r="AR521" s="64">
        <f t="shared" si="80"/>
        <v>0.18021259259259262</v>
      </c>
      <c r="AS521" s="14">
        <f t="shared" si="81"/>
        <v>6.5756210089586625E-2</v>
      </c>
    </row>
    <row r="522" spans="1:45" ht="36" customHeight="1" x14ac:dyDescent="0.25">
      <c r="A522" s="117"/>
      <c r="B522" s="118"/>
      <c r="C522" s="1">
        <v>11</v>
      </c>
      <c r="D522" s="70" t="s">
        <v>449</v>
      </c>
      <c r="E522" s="8"/>
      <c r="F522" s="72">
        <v>1</v>
      </c>
      <c r="G522" s="15"/>
      <c r="H522" s="16"/>
      <c r="I522" s="16"/>
      <c r="J522" s="16"/>
      <c r="K522" s="16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99">
        <f>0.25/2</f>
        <v>0.125</v>
      </c>
      <c r="W522" s="73"/>
      <c r="X522" s="73"/>
      <c r="Y522" s="73"/>
      <c r="Z522" s="73"/>
      <c r="AA522" s="73"/>
      <c r="AB522" s="74">
        <v>8</v>
      </c>
      <c r="AC522" s="75">
        <v>2</v>
      </c>
      <c r="AD522" s="74"/>
      <c r="AE522" s="75"/>
      <c r="AF522" s="5"/>
      <c r="AG522" s="8"/>
      <c r="AH522" s="8"/>
      <c r="AI522" s="8"/>
      <c r="AJ522" s="8"/>
      <c r="AK522" s="8"/>
      <c r="AL522" s="8"/>
      <c r="AM522" s="8"/>
      <c r="AN522" s="8"/>
      <c r="AO522" s="76">
        <v>-73.071191043999988</v>
      </c>
      <c r="AP522" s="76">
        <v>6.8085990540000694</v>
      </c>
      <c r="AQ522" s="13"/>
      <c r="AR522" s="64">
        <f t="shared" si="80"/>
        <v>2.653703703703704E-2</v>
      </c>
      <c r="AS522" s="14">
        <f t="shared" si="81"/>
        <v>9.6828693126202424E-3</v>
      </c>
    </row>
    <row r="523" spans="1:45" ht="36" customHeight="1" x14ac:dyDescent="0.25">
      <c r="A523" s="117"/>
      <c r="B523" s="118"/>
      <c r="C523" s="1">
        <v>12</v>
      </c>
      <c r="D523" s="70" t="s">
        <v>450</v>
      </c>
      <c r="E523" s="8"/>
      <c r="F523" s="72">
        <v>3.5</v>
      </c>
      <c r="G523" s="15"/>
      <c r="H523" s="16"/>
      <c r="I523" s="16"/>
      <c r="J523" s="16"/>
      <c r="K523" s="16"/>
      <c r="L523" s="73"/>
      <c r="M523" s="73">
        <f>0.25/2</f>
        <v>0.125</v>
      </c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>
        <v>0.25</v>
      </c>
      <c r="AB523" s="74">
        <v>6</v>
      </c>
      <c r="AC523" s="75">
        <v>2</v>
      </c>
      <c r="AD523" s="74"/>
      <c r="AE523" s="75"/>
      <c r="AF523" s="5"/>
      <c r="AG523" s="8"/>
      <c r="AH523" s="8"/>
      <c r="AI523" s="8"/>
      <c r="AJ523" s="8"/>
      <c r="AK523" s="8"/>
      <c r="AL523" s="8"/>
      <c r="AM523" s="8"/>
      <c r="AN523" s="8"/>
      <c r="AO523" s="76">
        <v>-73.073406000000006</v>
      </c>
      <c r="AP523" s="76">
        <v>6.8056070000000002</v>
      </c>
      <c r="AQ523" s="13"/>
      <c r="AR523" s="64">
        <f t="shared" si="80"/>
        <v>4.8527777777777781E-2</v>
      </c>
      <c r="AS523" s="14">
        <f t="shared" si="81"/>
        <v>1.7706879995618523E-2</v>
      </c>
    </row>
    <row r="524" spans="1:45" ht="36" customHeight="1" x14ac:dyDescent="0.25">
      <c r="A524" s="117"/>
      <c r="B524" s="118"/>
      <c r="C524" s="1">
        <v>13</v>
      </c>
      <c r="D524" s="70" t="s">
        <v>450</v>
      </c>
      <c r="E524" s="8"/>
      <c r="F524" s="72">
        <v>1.03</v>
      </c>
      <c r="G524" s="15"/>
      <c r="H524" s="16"/>
      <c r="I524" s="16"/>
      <c r="J524" s="16"/>
      <c r="K524" s="16"/>
      <c r="L524" s="73"/>
      <c r="M524" s="73">
        <v>0.15</v>
      </c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4">
        <v>2</v>
      </c>
      <c r="AC524" s="75"/>
      <c r="AD524" s="74"/>
      <c r="AE524" s="75"/>
      <c r="AF524" s="5"/>
      <c r="AG524" s="8"/>
      <c r="AH524" s="8"/>
      <c r="AI524" s="8"/>
      <c r="AJ524" s="8"/>
      <c r="AK524" s="8"/>
      <c r="AL524" s="8"/>
      <c r="AM524" s="8"/>
      <c r="AN524" s="8"/>
      <c r="AO524" s="76">
        <v>-73.073515999999998</v>
      </c>
      <c r="AP524" s="76">
        <v>6.8069940000000004</v>
      </c>
      <c r="AQ524" s="13"/>
      <c r="AR524" s="64">
        <f t="shared" si="80"/>
        <v>1.800925925925926E-2</v>
      </c>
      <c r="AS524" s="14">
        <f t="shared" si="81"/>
        <v>6.5712424330238552E-3</v>
      </c>
    </row>
    <row r="525" spans="1:45" ht="36" customHeight="1" x14ac:dyDescent="0.25">
      <c r="A525" s="117"/>
      <c r="B525" s="118"/>
      <c r="C525" s="1">
        <v>14</v>
      </c>
      <c r="D525" s="70" t="s">
        <v>451</v>
      </c>
      <c r="E525" s="8"/>
      <c r="F525" s="72">
        <v>1</v>
      </c>
      <c r="G525" s="15"/>
      <c r="H525" s="16"/>
      <c r="I525" s="16">
        <f>0.7/2</f>
        <v>0.35</v>
      </c>
      <c r="J525" s="16"/>
      <c r="K525" s="16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>
        <f>0.05/2</f>
        <v>2.5000000000000001E-2</v>
      </c>
      <c r="AB525" s="74">
        <v>15</v>
      </c>
      <c r="AC525" s="75">
        <v>5</v>
      </c>
      <c r="AD525" s="74"/>
      <c r="AE525" s="75"/>
      <c r="AF525" s="5"/>
      <c r="AG525" s="8"/>
      <c r="AH525" s="8"/>
      <c r="AI525" s="8"/>
      <c r="AJ525" s="8"/>
      <c r="AK525" s="8"/>
      <c r="AL525" s="8"/>
      <c r="AM525" s="8"/>
      <c r="AN525" s="8"/>
      <c r="AO525" s="76">
        <v>-73.066107039999963</v>
      </c>
      <c r="AP525" s="76">
        <v>6.8130230880000227</v>
      </c>
      <c r="AQ525" s="13"/>
      <c r="AR525" s="64">
        <f t="shared" si="80"/>
        <v>6.5069444444444444E-2</v>
      </c>
      <c r="AS525" s="14">
        <f t="shared" si="81"/>
        <v>2.3742625294640173E-2</v>
      </c>
    </row>
    <row r="526" spans="1:45" ht="36" customHeight="1" x14ac:dyDescent="0.25">
      <c r="A526" s="117"/>
      <c r="B526" s="118"/>
      <c r="C526" s="1">
        <v>15</v>
      </c>
      <c r="D526" s="70" t="s">
        <v>452</v>
      </c>
      <c r="E526" s="8"/>
      <c r="F526" s="72">
        <v>1</v>
      </c>
      <c r="G526" s="15"/>
      <c r="H526" s="16"/>
      <c r="I526" s="16">
        <v>0.125</v>
      </c>
      <c r="J526" s="16"/>
      <c r="K526" s="16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4">
        <v>4</v>
      </c>
      <c r="AC526" s="75">
        <v>2</v>
      </c>
      <c r="AD526" s="74"/>
      <c r="AE526" s="75"/>
      <c r="AF526" s="5"/>
      <c r="AG526" s="8"/>
      <c r="AH526" s="8"/>
      <c r="AI526" s="8"/>
      <c r="AJ526" s="8">
        <v>20</v>
      </c>
      <c r="AK526" s="8"/>
      <c r="AL526" s="8"/>
      <c r="AM526" s="8"/>
      <c r="AN526" s="8"/>
      <c r="AO526" s="76">
        <v>-73.068740332999937</v>
      </c>
      <c r="AP526" s="76">
        <v>6.809008216000052</v>
      </c>
      <c r="AQ526" s="13"/>
      <c r="AR526" s="64">
        <f t="shared" si="80"/>
        <v>2.0598518518518519E-2</v>
      </c>
      <c r="AS526" s="14">
        <f t="shared" si="81"/>
        <v>7.5160147898211769E-3</v>
      </c>
    </row>
    <row r="527" spans="1:45" ht="36" customHeight="1" x14ac:dyDescent="0.25">
      <c r="A527" s="117"/>
      <c r="B527" s="118"/>
      <c r="C527" s="1">
        <v>16</v>
      </c>
      <c r="D527" s="70" t="s">
        <v>453</v>
      </c>
      <c r="E527" s="8"/>
      <c r="F527" s="72">
        <v>0.25</v>
      </c>
      <c r="G527" s="15"/>
      <c r="H527" s="16"/>
      <c r="I527" s="16"/>
      <c r="J527" s="16"/>
      <c r="K527" s="16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4">
        <v>5</v>
      </c>
      <c r="AC527" s="75">
        <v>5</v>
      </c>
      <c r="AD527" s="74"/>
      <c r="AE527" s="75"/>
      <c r="AF527" s="5"/>
      <c r="AG527" s="8"/>
      <c r="AH527" s="8"/>
      <c r="AI527" s="8">
        <v>1</v>
      </c>
      <c r="AJ527" s="8"/>
      <c r="AK527" s="8"/>
      <c r="AL527" s="8"/>
      <c r="AM527" s="8"/>
      <c r="AN527" s="8"/>
      <c r="AO527" s="76">
        <v>-73.06902050399998</v>
      </c>
      <c r="AP527" s="76">
        <v>6.8141696060000641</v>
      </c>
      <c r="AQ527" s="13"/>
      <c r="AR527" s="64">
        <f t="shared" si="80"/>
        <v>1.2723148148148148E-2</v>
      </c>
      <c r="AS527" s="14">
        <f t="shared" si="81"/>
        <v>4.642439191371763E-3</v>
      </c>
    </row>
    <row r="528" spans="1:45" ht="36" customHeight="1" x14ac:dyDescent="0.25">
      <c r="A528" s="117"/>
      <c r="B528" s="118"/>
      <c r="C528" s="1">
        <v>17</v>
      </c>
      <c r="D528" s="70" t="s">
        <v>454</v>
      </c>
      <c r="E528" s="8"/>
      <c r="F528" s="72">
        <v>0.25</v>
      </c>
      <c r="G528" s="15"/>
      <c r="H528" s="16"/>
      <c r="I528" s="16">
        <f>0.1/2</f>
        <v>0.05</v>
      </c>
      <c r="J528" s="16"/>
      <c r="K528" s="16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  <c r="AB528" s="74">
        <v>6</v>
      </c>
      <c r="AC528" s="75">
        <v>4</v>
      </c>
      <c r="AD528" s="74"/>
      <c r="AE528" s="75"/>
      <c r="AF528" s="5"/>
      <c r="AG528" s="8"/>
      <c r="AH528" s="8"/>
      <c r="AI528" s="8"/>
      <c r="AJ528" s="8"/>
      <c r="AK528" s="8"/>
      <c r="AL528" s="8"/>
      <c r="AM528" s="8"/>
      <c r="AN528" s="8"/>
      <c r="AO528" s="76">
        <v>-73.073737943999959</v>
      </c>
      <c r="AP528" s="76">
        <v>6.8168390180000529</v>
      </c>
      <c r="AQ528" s="13"/>
      <c r="AR528" s="64">
        <f t="shared" si="80"/>
        <v>1.8027777777777778E-2</v>
      </c>
      <c r="AS528" s="14">
        <f t="shared" si="81"/>
        <v>6.5779994946516427E-3</v>
      </c>
    </row>
    <row r="529" spans="1:45" ht="36" customHeight="1" x14ac:dyDescent="0.25">
      <c r="A529" s="117"/>
      <c r="B529" s="118"/>
      <c r="C529" s="1">
        <v>18</v>
      </c>
      <c r="D529" s="70" t="s">
        <v>455</v>
      </c>
      <c r="E529" s="8"/>
      <c r="F529" s="72">
        <v>2.5</v>
      </c>
      <c r="G529" s="15"/>
      <c r="H529" s="16"/>
      <c r="I529" s="16"/>
      <c r="J529" s="16"/>
      <c r="K529" s="16"/>
      <c r="L529" s="73"/>
      <c r="M529" s="73">
        <v>0.5</v>
      </c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4">
        <v>2</v>
      </c>
      <c r="AC529" s="75">
        <v>12</v>
      </c>
      <c r="AD529" s="74"/>
      <c r="AE529" s="75"/>
      <c r="AF529" s="5"/>
      <c r="AG529" s="8"/>
      <c r="AH529" s="8"/>
      <c r="AI529" s="8"/>
      <c r="AJ529" s="8"/>
      <c r="AK529" s="8"/>
      <c r="AL529" s="8"/>
      <c r="AM529" s="8"/>
      <c r="AN529" s="8"/>
      <c r="AO529" s="76">
        <v>-73.067506643999934</v>
      </c>
      <c r="AP529" s="76">
        <v>6.8165475910000737</v>
      </c>
      <c r="AQ529" s="13"/>
      <c r="AR529" s="64">
        <f t="shared" si="80"/>
        <v>6.5009259259259267E-2</v>
      </c>
      <c r="AS529" s="14">
        <f t="shared" si="81"/>
        <v>2.3720664844349867E-2</v>
      </c>
    </row>
    <row r="530" spans="1:45" ht="36" customHeight="1" x14ac:dyDescent="0.25">
      <c r="A530" s="117"/>
      <c r="B530" s="118"/>
      <c r="C530" s="1">
        <v>19</v>
      </c>
      <c r="D530" s="70" t="s">
        <v>456</v>
      </c>
      <c r="E530" s="8"/>
      <c r="F530" s="72">
        <v>1</v>
      </c>
      <c r="G530" s="15"/>
      <c r="H530" s="16"/>
      <c r="I530" s="16"/>
      <c r="J530" s="16"/>
      <c r="K530" s="16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>
        <v>0.05</v>
      </c>
      <c r="AB530" s="74">
        <v>28</v>
      </c>
      <c r="AC530" s="75">
        <v>10</v>
      </c>
      <c r="AD530" s="74"/>
      <c r="AE530" s="75"/>
      <c r="AF530" s="5"/>
      <c r="AG530" s="8"/>
      <c r="AH530" s="8"/>
      <c r="AI530" s="8"/>
      <c r="AJ530" s="8"/>
      <c r="AK530" s="8"/>
      <c r="AL530" s="8"/>
      <c r="AM530" s="8"/>
      <c r="AN530" s="8"/>
      <c r="AO530" s="76">
        <v>-73.066571088999979</v>
      </c>
      <c r="AP530" s="76">
        <v>6.8127720630000681</v>
      </c>
      <c r="AQ530" s="13"/>
      <c r="AR530" s="64">
        <f t="shared" si="80"/>
        <v>5.7129629629629634E-2</v>
      </c>
      <c r="AS530" s="14">
        <f t="shared" si="81"/>
        <v>2.0845535121726062E-2</v>
      </c>
    </row>
    <row r="531" spans="1:45" ht="36" customHeight="1" x14ac:dyDescent="0.25">
      <c r="A531" s="117"/>
      <c r="B531" s="118"/>
      <c r="C531" s="1">
        <v>20</v>
      </c>
      <c r="D531" s="70" t="s">
        <v>457</v>
      </c>
      <c r="E531" s="8"/>
      <c r="F531" s="72">
        <v>0.5</v>
      </c>
      <c r="G531" s="15"/>
      <c r="H531" s="16"/>
      <c r="I531" s="16"/>
      <c r="J531" s="16"/>
      <c r="K531" s="16"/>
      <c r="L531" s="73"/>
      <c r="M531" s="73">
        <v>0.125</v>
      </c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4">
        <v>4</v>
      </c>
      <c r="AC531" s="75">
        <v>15</v>
      </c>
      <c r="AD531" s="74"/>
      <c r="AE531" s="75"/>
      <c r="AF531" s="5"/>
      <c r="AG531" s="8">
        <v>2</v>
      </c>
      <c r="AH531" s="8"/>
      <c r="AI531" s="8"/>
      <c r="AJ531" s="8"/>
      <c r="AK531" s="8"/>
      <c r="AL531" s="8"/>
      <c r="AM531" s="8"/>
      <c r="AN531" s="8"/>
      <c r="AO531" s="76">
        <v>-73.072102328999961</v>
      </c>
      <c r="AP531" s="76">
        <v>6.8168075860000394</v>
      </c>
      <c r="AQ531" s="13"/>
      <c r="AR531" s="64">
        <f t="shared" si="80"/>
        <v>3.4718518518518517E-2</v>
      </c>
      <c r="AS531" s="14">
        <f t="shared" si="81"/>
        <v>1.266813913977699E-2</v>
      </c>
    </row>
    <row r="532" spans="1:45" ht="36" customHeight="1" x14ac:dyDescent="0.25">
      <c r="A532" s="117"/>
      <c r="B532" s="118"/>
      <c r="C532" s="1">
        <v>21</v>
      </c>
      <c r="D532" s="70" t="s">
        <v>458</v>
      </c>
      <c r="E532" s="8"/>
      <c r="F532" s="72">
        <v>1</v>
      </c>
      <c r="G532" s="15"/>
      <c r="H532" s="16"/>
      <c r="I532" s="16">
        <f>0.25/2</f>
        <v>0.125</v>
      </c>
      <c r="J532" s="16"/>
      <c r="K532" s="16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  <c r="AB532" s="74">
        <v>5</v>
      </c>
      <c r="AC532" s="75">
        <v>2</v>
      </c>
      <c r="AD532" s="74"/>
      <c r="AE532" s="75"/>
      <c r="AF532" s="5"/>
      <c r="AG532" s="8"/>
      <c r="AH532" s="8"/>
      <c r="AI532" s="8"/>
      <c r="AJ532" s="8"/>
      <c r="AK532" s="8"/>
      <c r="AL532" s="8"/>
      <c r="AM532" s="8"/>
      <c r="AN532" s="8"/>
      <c r="AO532" s="76">
        <v>-73.069865804999949</v>
      </c>
      <c r="AP532" s="76">
        <v>6.8146830930000419</v>
      </c>
      <c r="AQ532" s="13"/>
      <c r="AR532" s="64">
        <f t="shared" si="80"/>
        <v>2.2023148148148153E-2</v>
      </c>
      <c r="AS532" s="14">
        <f t="shared" si="81"/>
        <v>8.0358355408469105E-3</v>
      </c>
    </row>
    <row r="533" spans="1:45" ht="36" customHeight="1" x14ac:dyDescent="0.25">
      <c r="A533" s="117"/>
      <c r="B533" s="118"/>
      <c r="C533" s="1">
        <v>22</v>
      </c>
      <c r="D533" s="70" t="s">
        <v>459</v>
      </c>
      <c r="E533" s="8"/>
      <c r="F533" s="72">
        <v>1</v>
      </c>
      <c r="G533" s="15"/>
      <c r="H533" s="16"/>
      <c r="I533" s="16">
        <f>0.25/2</f>
        <v>0.125</v>
      </c>
      <c r="J533" s="16"/>
      <c r="K533" s="16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>
        <f>0.1/2</f>
        <v>0.05</v>
      </c>
      <c r="AB533" s="74">
        <v>12</v>
      </c>
      <c r="AC533" s="75">
        <v>20</v>
      </c>
      <c r="AD533" s="74"/>
      <c r="AE533" s="75"/>
      <c r="AF533" s="5"/>
      <c r="AG533" s="8"/>
      <c r="AH533" s="8"/>
      <c r="AI533" s="8"/>
      <c r="AJ533" s="8"/>
      <c r="AK533" s="8"/>
      <c r="AL533" s="8"/>
      <c r="AM533" s="8"/>
      <c r="AN533" s="8"/>
      <c r="AO533" s="76">
        <v>-73.066015046999951</v>
      </c>
      <c r="AP533" s="76">
        <v>6.8129307650000328</v>
      </c>
      <c r="AQ533" s="13"/>
      <c r="AR533" s="64">
        <f t="shared" si="80"/>
        <v>5.5555555555555552E-2</v>
      </c>
      <c r="AS533" s="14">
        <f t="shared" si="81"/>
        <v>2.0271184883364074E-2</v>
      </c>
    </row>
    <row r="534" spans="1:45" ht="36" customHeight="1" x14ac:dyDescent="0.25">
      <c r="A534" s="117"/>
      <c r="B534" s="118"/>
      <c r="C534" s="1">
        <v>23</v>
      </c>
      <c r="D534" s="70" t="s">
        <v>460</v>
      </c>
      <c r="E534" s="8"/>
      <c r="F534" s="72">
        <v>1.03</v>
      </c>
      <c r="G534" s="15"/>
      <c r="H534" s="16"/>
      <c r="I534" s="16">
        <f>0.1/2</f>
        <v>0.05</v>
      </c>
      <c r="J534" s="16"/>
      <c r="K534" s="16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>
        <f>0.05/2</f>
        <v>2.5000000000000001E-2</v>
      </c>
      <c r="AB534" s="74">
        <v>6</v>
      </c>
      <c r="AC534" s="75">
        <v>6</v>
      </c>
      <c r="AD534" s="74"/>
      <c r="AE534" s="75"/>
      <c r="AF534" s="5"/>
      <c r="AG534" s="8"/>
      <c r="AH534" s="8"/>
      <c r="AI534" s="8"/>
      <c r="AJ534" s="8"/>
      <c r="AK534" s="8"/>
      <c r="AL534" s="8"/>
      <c r="AM534" s="8"/>
      <c r="AN534" s="8"/>
      <c r="AO534" s="76">
        <v>-73.074448427999982</v>
      </c>
      <c r="AP534" s="76">
        <v>6.8073805810000749</v>
      </c>
      <c r="AQ534" s="13"/>
      <c r="AR534" s="64">
        <f t="shared" si="80"/>
        <v>2.2527777777777779E-2</v>
      </c>
      <c r="AS534" s="14">
        <f t="shared" si="81"/>
        <v>8.2199654702041335E-3</v>
      </c>
    </row>
    <row r="535" spans="1:45" ht="36" customHeight="1" x14ac:dyDescent="0.25">
      <c r="A535" s="117"/>
      <c r="B535" s="118"/>
      <c r="C535" s="1">
        <v>24</v>
      </c>
      <c r="D535" s="70" t="s">
        <v>436</v>
      </c>
      <c r="E535" s="8"/>
      <c r="F535" s="72">
        <v>127.9954</v>
      </c>
      <c r="G535" s="15"/>
      <c r="H535" s="16"/>
      <c r="I535" s="16"/>
      <c r="J535" s="16"/>
      <c r="K535" s="16"/>
      <c r="L535" s="73"/>
      <c r="M535" s="73"/>
      <c r="N535" s="73"/>
      <c r="O535" s="73"/>
      <c r="P535" s="73"/>
      <c r="Q535" s="73"/>
      <c r="R535" s="73"/>
      <c r="S535" s="73">
        <f>0.5/2</f>
        <v>0.25</v>
      </c>
      <c r="T535" s="73">
        <v>0.5</v>
      </c>
      <c r="U535" s="73"/>
      <c r="V535" s="73">
        <v>2.5</v>
      </c>
      <c r="W535" s="73"/>
      <c r="X535" s="73">
        <v>0.25</v>
      </c>
      <c r="Y535" s="73"/>
      <c r="Z535" s="73"/>
      <c r="AA535" s="73"/>
      <c r="AB535" s="74">
        <v>8</v>
      </c>
      <c r="AC535" s="75">
        <v>8</v>
      </c>
      <c r="AD535" s="74"/>
      <c r="AE535" s="75">
        <v>30</v>
      </c>
      <c r="AF535" s="5"/>
      <c r="AG535" s="8"/>
      <c r="AH535" s="8"/>
      <c r="AI535" s="8"/>
      <c r="AJ535" s="8"/>
      <c r="AK535" s="8"/>
      <c r="AL535" s="8"/>
      <c r="AM535" s="8"/>
      <c r="AN535" s="8"/>
      <c r="AO535" s="76">
        <v>-73.074528999999998</v>
      </c>
      <c r="AP535" s="76">
        <v>6.8048109999999999</v>
      </c>
      <c r="AQ535" s="13"/>
      <c r="AR535" s="64">
        <f t="shared" si="80"/>
        <v>0.38803703703703707</v>
      </c>
      <c r="AS535" s="14">
        <f t="shared" si="81"/>
        <v>0.14158746934867031</v>
      </c>
    </row>
    <row r="536" spans="1:45" ht="36" customHeight="1" x14ac:dyDescent="0.25">
      <c r="A536" s="117"/>
      <c r="B536" s="118"/>
      <c r="C536" s="1">
        <v>25</v>
      </c>
      <c r="D536" s="70" t="s">
        <v>436</v>
      </c>
      <c r="E536" s="8"/>
      <c r="F536" s="72">
        <v>127</v>
      </c>
      <c r="G536" s="15"/>
      <c r="H536" s="16"/>
      <c r="I536" s="16"/>
      <c r="J536" s="16"/>
      <c r="K536" s="16"/>
      <c r="L536" s="73"/>
      <c r="M536" s="73">
        <v>0.25</v>
      </c>
      <c r="N536" s="73"/>
      <c r="O536" s="73"/>
      <c r="P536" s="73">
        <v>0.25</v>
      </c>
      <c r="Q536" s="73"/>
      <c r="R536" s="73"/>
      <c r="S536" s="73"/>
      <c r="T536" s="73">
        <v>1</v>
      </c>
      <c r="U536" s="73"/>
      <c r="V536" s="73">
        <v>0.5</v>
      </c>
      <c r="W536" s="73"/>
      <c r="X536" s="73"/>
      <c r="Y536" s="73"/>
      <c r="Z536" s="73"/>
      <c r="AA536" s="73"/>
      <c r="AB536" s="74">
        <v>6</v>
      </c>
      <c r="AC536" s="75">
        <v>3</v>
      </c>
      <c r="AD536" s="74"/>
      <c r="AE536" s="75">
        <v>30</v>
      </c>
      <c r="AF536" s="5"/>
      <c r="AG536" s="8"/>
      <c r="AH536" s="8"/>
      <c r="AI536" s="8"/>
      <c r="AJ536" s="8"/>
      <c r="AK536" s="8"/>
      <c r="AL536" s="8"/>
      <c r="AM536" s="8"/>
      <c r="AN536" s="8"/>
      <c r="AO536" s="76">
        <v>-73.075854000000007</v>
      </c>
      <c r="AP536" s="76">
        <v>6.80708</v>
      </c>
      <c r="AQ536" s="13"/>
      <c r="AR536" s="64">
        <f t="shared" si="80"/>
        <v>0.23002777777777778</v>
      </c>
      <c r="AS536" s="14">
        <f t="shared" si="81"/>
        <v>8.3932841009568965E-2</v>
      </c>
    </row>
    <row r="537" spans="1:45" ht="23.25" customHeight="1" x14ac:dyDescent="0.25">
      <c r="A537" s="79"/>
      <c r="B537" s="2"/>
      <c r="C537" s="113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  <c r="AA537" s="114"/>
      <c r="AB537" s="114"/>
      <c r="AC537" s="114"/>
      <c r="AD537" s="114"/>
      <c r="AE537" s="114"/>
      <c r="AF537" s="114"/>
      <c r="AG537" s="114"/>
      <c r="AH537" s="114"/>
      <c r="AI537" s="114"/>
      <c r="AJ537" s="114"/>
      <c r="AK537" s="114"/>
      <c r="AL537" s="114"/>
      <c r="AM537" s="114"/>
      <c r="AN537" s="114"/>
      <c r="AO537" s="114"/>
      <c r="AP537" s="115"/>
      <c r="AQ537" s="78"/>
      <c r="AR537" s="7">
        <f>SUM(AR512:AR536)</f>
        <v>1.8041042592592593</v>
      </c>
      <c r="AS537" s="51">
        <f>SUM(AS512:AS536)</f>
        <v>0.65828395778956295</v>
      </c>
    </row>
  </sheetData>
  <sheetProtection algorithmName="SHA-512" hashValue="WV5Tb6KPSNAN6FCPLtN1FlxOLuFozd5oO075BrkT/aK+sNKUZnBwDpPbNlWSziPlDpL9w/VLSbrwaq/0SPzQ2g==" saltValue="879WQBlhJL0lkywZpvrqqQ==" spinCount="100000" sheet="1" objects="1" scenarios="1"/>
  <mergeCells count="603">
    <mergeCell ref="AJ1:AJ2"/>
    <mergeCell ref="AK1:AK2"/>
    <mergeCell ref="A4:A8"/>
    <mergeCell ref="B4:B8"/>
    <mergeCell ref="C4:AH4"/>
    <mergeCell ref="C5:AF5"/>
    <mergeCell ref="G1:G2"/>
    <mergeCell ref="H1:V1"/>
    <mergeCell ref="W1:W2"/>
    <mergeCell ref="X1:X2"/>
    <mergeCell ref="Y1:Y2"/>
    <mergeCell ref="Z1:AE1"/>
    <mergeCell ref="A1:A2"/>
    <mergeCell ref="B1:B2"/>
    <mergeCell ref="C1:C2"/>
    <mergeCell ref="D1:D2"/>
    <mergeCell ref="E1:E2"/>
    <mergeCell ref="F1:F2"/>
    <mergeCell ref="C11:AF11"/>
    <mergeCell ref="C19:AF19"/>
    <mergeCell ref="C24:AF24"/>
    <mergeCell ref="C32:AF32"/>
    <mergeCell ref="C37:AF37"/>
    <mergeCell ref="C41:AH41"/>
    <mergeCell ref="AF1:AF2"/>
    <mergeCell ref="AG1:AH1"/>
    <mergeCell ref="AI1:AI2"/>
    <mergeCell ref="C92:AF92"/>
    <mergeCell ref="C99:AF99"/>
    <mergeCell ref="C104:AF104"/>
    <mergeCell ref="C112:AF112"/>
    <mergeCell ref="C121:AF121"/>
    <mergeCell ref="C128:AF128"/>
    <mergeCell ref="C42:AF42"/>
    <mergeCell ref="C60:AF60"/>
    <mergeCell ref="C68:AF68"/>
    <mergeCell ref="C80:AF80"/>
    <mergeCell ref="C88:AF88"/>
    <mergeCell ref="C91:AH91"/>
    <mergeCell ref="C178:AF178"/>
    <mergeCell ref="C183:AH183"/>
    <mergeCell ref="C184:AF184"/>
    <mergeCell ref="C194:AF194"/>
    <mergeCell ref="C198:AF198"/>
    <mergeCell ref="C206:AH206"/>
    <mergeCell ref="C137:AH137"/>
    <mergeCell ref="C138:AF138"/>
    <mergeCell ref="C142:AF142"/>
    <mergeCell ref="C147:AH147"/>
    <mergeCell ref="C148:AF148"/>
    <mergeCell ref="C174:AF174"/>
    <mergeCell ref="C207:AF207"/>
    <mergeCell ref="C214:AF214"/>
    <mergeCell ref="A221:A222"/>
    <mergeCell ref="B221:B222"/>
    <mergeCell ref="C221:C222"/>
    <mergeCell ref="D221:D222"/>
    <mergeCell ref="E221:E222"/>
    <mergeCell ref="F221:F222"/>
    <mergeCell ref="G221:G222"/>
    <mergeCell ref="H221:AA221"/>
    <mergeCell ref="AQ221:AQ222"/>
    <mergeCell ref="AR221:AR222"/>
    <mergeCell ref="AS221:AS222"/>
    <mergeCell ref="A223:A225"/>
    <mergeCell ref="B223:B225"/>
    <mergeCell ref="C223:AP223"/>
    <mergeCell ref="C224:AN224"/>
    <mergeCell ref="AB221:AB222"/>
    <mergeCell ref="AC221:AC222"/>
    <mergeCell ref="AD221:AD222"/>
    <mergeCell ref="AE221:AM221"/>
    <mergeCell ref="AN221:AN222"/>
    <mergeCell ref="AO221:AP221"/>
    <mergeCell ref="C226:AP226"/>
    <mergeCell ref="A229:A230"/>
    <mergeCell ref="B229:B230"/>
    <mergeCell ref="C229:C230"/>
    <mergeCell ref="D229:D230"/>
    <mergeCell ref="E229:E230"/>
    <mergeCell ref="F229:F230"/>
    <mergeCell ref="G229:G230"/>
    <mergeCell ref="H229:AA229"/>
    <mergeCell ref="AB229:AB230"/>
    <mergeCell ref="AR229:AR230"/>
    <mergeCell ref="AS229:AS230"/>
    <mergeCell ref="A231:A254"/>
    <mergeCell ref="B231:B254"/>
    <mergeCell ref="C231:AP231"/>
    <mergeCell ref="C232:AN232"/>
    <mergeCell ref="AC229:AC230"/>
    <mergeCell ref="AD229:AD230"/>
    <mergeCell ref="AE229:AM229"/>
    <mergeCell ref="AN229:AN230"/>
    <mergeCell ref="AO229:AP229"/>
    <mergeCell ref="AQ229:AQ230"/>
    <mergeCell ref="C255:AP255"/>
    <mergeCell ref="A258:A259"/>
    <mergeCell ref="B258:B259"/>
    <mergeCell ref="C258:C259"/>
    <mergeCell ref="D258:D259"/>
    <mergeCell ref="E258:E259"/>
    <mergeCell ref="F258:F259"/>
    <mergeCell ref="G258:G259"/>
    <mergeCell ref="H258:AA258"/>
    <mergeCell ref="AB258:AB259"/>
    <mergeCell ref="AR258:AR259"/>
    <mergeCell ref="AS258:AS259"/>
    <mergeCell ref="A260:A263"/>
    <mergeCell ref="B260:B263"/>
    <mergeCell ref="C260:AP260"/>
    <mergeCell ref="C261:AN261"/>
    <mergeCell ref="AC258:AC259"/>
    <mergeCell ref="AD258:AD259"/>
    <mergeCell ref="AE258:AM258"/>
    <mergeCell ref="AN258:AN259"/>
    <mergeCell ref="AO258:AP258"/>
    <mergeCell ref="AQ258:AQ259"/>
    <mergeCell ref="C264:AP264"/>
    <mergeCell ref="A267:A268"/>
    <mergeCell ref="B267:B268"/>
    <mergeCell ref="C267:C268"/>
    <mergeCell ref="D267:D268"/>
    <mergeCell ref="E267:E268"/>
    <mergeCell ref="F267:F268"/>
    <mergeCell ref="G267:G268"/>
    <mergeCell ref="H267:AA267"/>
    <mergeCell ref="AB267:AB268"/>
    <mergeCell ref="AR267:AR268"/>
    <mergeCell ref="AS267:AS268"/>
    <mergeCell ref="A269:A271"/>
    <mergeCell ref="B269:B271"/>
    <mergeCell ref="C269:AP269"/>
    <mergeCell ref="C270:AN270"/>
    <mergeCell ref="AC267:AC268"/>
    <mergeCell ref="AD267:AD268"/>
    <mergeCell ref="AE267:AM267"/>
    <mergeCell ref="AN267:AN268"/>
    <mergeCell ref="AO267:AP267"/>
    <mergeCell ref="AQ267:AQ268"/>
    <mergeCell ref="C272:AP272"/>
    <mergeCell ref="A275:A276"/>
    <mergeCell ref="B275:B276"/>
    <mergeCell ref="C275:C276"/>
    <mergeCell ref="D275:D276"/>
    <mergeCell ref="E275:E276"/>
    <mergeCell ref="F275:F276"/>
    <mergeCell ref="G275:G276"/>
    <mergeCell ref="H275:AA275"/>
    <mergeCell ref="AB275:AB276"/>
    <mergeCell ref="AR275:AR276"/>
    <mergeCell ref="AS275:AS276"/>
    <mergeCell ref="A277:A279"/>
    <mergeCell ref="B277:B279"/>
    <mergeCell ref="C277:AP277"/>
    <mergeCell ref="C278:AN278"/>
    <mergeCell ref="AC275:AC276"/>
    <mergeCell ref="AD275:AD276"/>
    <mergeCell ref="AE275:AM275"/>
    <mergeCell ref="AN275:AN276"/>
    <mergeCell ref="AO275:AP275"/>
    <mergeCell ref="AQ275:AQ276"/>
    <mergeCell ref="C280:AP280"/>
    <mergeCell ref="A283:A284"/>
    <mergeCell ref="B283:B284"/>
    <mergeCell ref="C283:C284"/>
    <mergeCell ref="D283:D284"/>
    <mergeCell ref="E283:E284"/>
    <mergeCell ref="F283:F284"/>
    <mergeCell ref="G283:G284"/>
    <mergeCell ref="H283:AA283"/>
    <mergeCell ref="AB283:AB284"/>
    <mergeCell ref="AR283:AR284"/>
    <mergeCell ref="AS283:AS284"/>
    <mergeCell ref="A285:A287"/>
    <mergeCell ref="B285:B287"/>
    <mergeCell ref="C285:AP285"/>
    <mergeCell ref="C286:AN286"/>
    <mergeCell ref="AC283:AC284"/>
    <mergeCell ref="AD283:AD284"/>
    <mergeCell ref="AE283:AM283"/>
    <mergeCell ref="AN283:AN284"/>
    <mergeCell ref="AO283:AP283"/>
    <mergeCell ref="AQ283:AQ284"/>
    <mergeCell ref="C288:AP288"/>
    <mergeCell ref="A291:A292"/>
    <mergeCell ref="B291:B292"/>
    <mergeCell ref="C291:C292"/>
    <mergeCell ref="D291:D292"/>
    <mergeCell ref="E291:E292"/>
    <mergeCell ref="F291:F292"/>
    <mergeCell ref="G291:G292"/>
    <mergeCell ref="H291:AA291"/>
    <mergeCell ref="AB291:AB292"/>
    <mergeCell ref="AR291:AR292"/>
    <mergeCell ref="AS291:AS292"/>
    <mergeCell ref="A293:A295"/>
    <mergeCell ref="B293:B295"/>
    <mergeCell ref="C293:AP293"/>
    <mergeCell ref="C294:AN294"/>
    <mergeCell ref="AC291:AC292"/>
    <mergeCell ref="AD291:AD292"/>
    <mergeCell ref="AE291:AM291"/>
    <mergeCell ref="AN291:AN292"/>
    <mergeCell ref="AO291:AP291"/>
    <mergeCell ref="AQ291:AQ292"/>
    <mergeCell ref="C296:AP296"/>
    <mergeCell ref="A299:A300"/>
    <mergeCell ref="B299:B300"/>
    <mergeCell ref="C299:C300"/>
    <mergeCell ref="D299:D300"/>
    <mergeCell ref="E299:E300"/>
    <mergeCell ref="F299:F300"/>
    <mergeCell ref="G299:G300"/>
    <mergeCell ref="H299:AA299"/>
    <mergeCell ref="AB299:AB300"/>
    <mergeCell ref="AR299:AR300"/>
    <mergeCell ref="AS299:AS300"/>
    <mergeCell ref="A301:A305"/>
    <mergeCell ref="B301:B305"/>
    <mergeCell ref="C301:AP301"/>
    <mergeCell ref="C302:AN302"/>
    <mergeCell ref="AC299:AC300"/>
    <mergeCell ref="AD299:AD300"/>
    <mergeCell ref="AE299:AM299"/>
    <mergeCell ref="AN299:AN300"/>
    <mergeCell ref="AO299:AP299"/>
    <mergeCell ref="AQ299:AQ300"/>
    <mergeCell ref="C306:AP306"/>
    <mergeCell ref="A309:A310"/>
    <mergeCell ref="B309:B310"/>
    <mergeCell ref="C309:C310"/>
    <mergeCell ref="D309:D310"/>
    <mergeCell ref="E309:E310"/>
    <mergeCell ref="F309:F310"/>
    <mergeCell ref="G309:G310"/>
    <mergeCell ref="H309:AA309"/>
    <mergeCell ref="AB309:AB310"/>
    <mergeCell ref="AR309:AR310"/>
    <mergeCell ref="AS309:AS310"/>
    <mergeCell ref="A311:A319"/>
    <mergeCell ref="B311:B319"/>
    <mergeCell ref="C311:AP311"/>
    <mergeCell ref="C312:AN312"/>
    <mergeCell ref="AC309:AC310"/>
    <mergeCell ref="AD309:AD310"/>
    <mergeCell ref="AE309:AM309"/>
    <mergeCell ref="AN309:AN310"/>
    <mergeCell ref="AO309:AP309"/>
    <mergeCell ref="AQ309:AQ310"/>
    <mergeCell ref="C320:AP320"/>
    <mergeCell ref="A324:A325"/>
    <mergeCell ref="B324:B325"/>
    <mergeCell ref="C324:C325"/>
    <mergeCell ref="D324:D325"/>
    <mergeCell ref="E324:E325"/>
    <mergeCell ref="F324:F325"/>
    <mergeCell ref="G324:G325"/>
    <mergeCell ref="H324:AA324"/>
    <mergeCell ref="AB324:AB325"/>
    <mergeCell ref="AR324:AR325"/>
    <mergeCell ref="AS324:AS325"/>
    <mergeCell ref="A326:A328"/>
    <mergeCell ref="B326:B328"/>
    <mergeCell ref="C326:AP326"/>
    <mergeCell ref="C327:AN327"/>
    <mergeCell ref="AC324:AC325"/>
    <mergeCell ref="AD324:AD325"/>
    <mergeCell ref="AE324:AM324"/>
    <mergeCell ref="AN324:AN325"/>
    <mergeCell ref="AO324:AP324"/>
    <mergeCell ref="AQ324:AQ325"/>
    <mergeCell ref="C329:AP329"/>
    <mergeCell ref="A332:A333"/>
    <mergeCell ref="B332:B333"/>
    <mergeCell ref="C332:C333"/>
    <mergeCell ref="D332:D333"/>
    <mergeCell ref="E332:E333"/>
    <mergeCell ref="F332:F333"/>
    <mergeCell ref="G332:G333"/>
    <mergeCell ref="H332:AA332"/>
    <mergeCell ref="AB332:AB333"/>
    <mergeCell ref="AR332:AR333"/>
    <mergeCell ref="AS332:AS333"/>
    <mergeCell ref="A334:A336"/>
    <mergeCell ref="B334:B336"/>
    <mergeCell ref="C334:AP334"/>
    <mergeCell ref="C335:AN335"/>
    <mergeCell ref="AC332:AC333"/>
    <mergeCell ref="AD332:AD333"/>
    <mergeCell ref="AE332:AM332"/>
    <mergeCell ref="AN332:AN333"/>
    <mergeCell ref="AO332:AP332"/>
    <mergeCell ref="AQ332:AQ333"/>
    <mergeCell ref="C337:AP337"/>
    <mergeCell ref="A340:A341"/>
    <mergeCell ref="B340:B341"/>
    <mergeCell ref="C340:C341"/>
    <mergeCell ref="D340:D341"/>
    <mergeCell ref="E340:E341"/>
    <mergeCell ref="F340:F341"/>
    <mergeCell ref="G340:G341"/>
    <mergeCell ref="H340:AA340"/>
    <mergeCell ref="AB340:AB341"/>
    <mergeCell ref="AR340:AR341"/>
    <mergeCell ref="AS340:AS341"/>
    <mergeCell ref="A342:A346"/>
    <mergeCell ref="B342:B346"/>
    <mergeCell ref="C342:AP342"/>
    <mergeCell ref="C343:AN343"/>
    <mergeCell ref="AC340:AC341"/>
    <mergeCell ref="AD340:AD341"/>
    <mergeCell ref="AE340:AM340"/>
    <mergeCell ref="AN340:AN341"/>
    <mergeCell ref="AO340:AP340"/>
    <mergeCell ref="AQ340:AQ341"/>
    <mergeCell ref="C347:AP347"/>
    <mergeCell ref="A350:A351"/>
    <mergeCell ref="B350:B351"/>
    <mergeCell ref="C350:C351"/>
    <mergeCell ref="D350:D351"/>
    <mergeCell ref="E350:E351"/>
    <mergeCell ref="F350:F351"/>
    <mergeCell ref="G350:G351"/>
    <mergeCell ref="H350:AA350"/>
    <mergeCell ref="AB350:AB351"/>
    <mergeCell ref="AR350:AR351"/>
    <mergeCell ref="AS350:AS351"/>
    <mergeCell ref="A352:A381"/>
    <mergeCell ref="B352:B381"/>
    <mergeCell ref="C352:AP352"/>
    <mergeCell ref="C353:AN353"/>
    <mergeCell ref="AC350:AC351"/>
    <mergeCell ref="AD350:AD351"/>
    <mergeCell ref="AE350:AM350"/>
    <mergeCell ref="AN350:AN351"/>
    <mergeCell ref="AO350:AP350"/>
    <mergeCell ref="AQ350:AQ351"/>
    <mergeCell ref="C382:AP382"/>
    <mergeCell ref="A386:A387"/>
    <mergeCell ref="B386:B387"/>
    <mergeCell ref="C386:C387"/>
    <mergeCell ref="D386:D387"/>
    <mergeCell ref="E386:E387"/>
    <mergeCell ref="F386:F387"/>
    <mergeCell ref="G386:G387"/>
    <mergeCell ref="H386:AA386"/>
    <mergeCell ref="AB386:AB387"/>
    <mergeCell ref="AR386:AR387"/>
    <mergeCell ref="AS386:AS387"/>
    <mergeCell ref="A388:A395"/>
    <mergeCell ref="B388:B395"/>
    <mergeCell ref="C388:AP388"/>
    <mergeCell ref="C389:AN389"/>
    <mergeCell ref="AC386:AC387"/>
    <mergeCell ref="AD386:AD387"/>
    <mergeCell ref="AE386:AM386"/>
    <mergeCell ref="AN386:AN387"/>
    <mergeCell ref="AO386:AP386"/>
    <mergeCell ref="AQ386:AQ387"/>
    <mergeCell ref="C396:AP396"/>
    <mergeCell ref="A399:A400"/>
    <mergeCell ref="B399:B400"/>
    <mergeCell ref="C399:C400"/>
    <mergeCell ref="D399:D400"/>
    <mergeCell ref="E399:E400"/>
    <mergeCell ref="F399:F400"/>
    <mergeCell ref="G399:G400"/>
    <mergeCell ref="H399:AA399"/>
    <mergeCell ref="AB399:AB400"/>
    <mergeCell ref="AR399:AR400"/>
    <mergeCell ref="AS399:AS400"/>
    <mergeCell ref="A401:A404"/>
    <mergeCell ref="B401:B404"/>
    <mergeCell ref="C401:AP401"/>
    <mergeCell ref="C402:AN402"/>
    <mergeCell ref="AC399:AC400"/>
    <mergeCell ref="AD399:AD400"/>
    <mergeCell ref="AE399:AM399"/>
    <mergeCell ref="AN399:AN400"/>
    <mergeCell ref="AO399:AP399"/>
    <mergeCell ref="AQ399:AQ400"/>
    <mergeCell ref="C405:AP405"/>
    <mergeCell ref="A408:A409"/>
    <mergeCell ref="B408:B409"/>
    <mergeCell ref="C408:C409"/>
    <mergeCell ref="D408:D409"/>
    <mergeCell ref="E408:E409"/>
    <mergeCell ref="F408:F409"/>
    <mergeCell ref="G408:G409"/>
    <mergeCell ref="H408:AA408"/>
    <mergeCell ref="AB408:AB409"/>
    <mergeCell ref="AR408:AR409"/>
    <mergeCell ref="AS408:AS409"/>
    <mergeCell ref="A410:A413"/>
    <mergeCell ref="B410:B413"/>
    <mergeCell ref="C410:AP410"/>
    <mergeCell ref="C411:AN411"/>
    <mergeCell ref="AC408:AC409"/>
    <mergeCell ref="AD408:AD409"/>
    <mergeCell ref="AE408:AM408"/>
    <mergeCell ref="AN408:AN409"/>
    <mergeCell ref="AO408:AP408"/>
    <mergeCell ref="AQ408:AQ409"/>
    <mergeCell ref="C414:AP414"/>
    <mergeCell ref="A417:A418"/>
    <mergeCell ref="B417:B418"/>
    <mergeCell ref="C417:C418"/>
    <mergeCell ref="D417:D418"/>
    <mergeCell ref="E417:E418"/>
    <mergeCell ref="F417:F418"/>
    <mergeCell ref="G417:G418"/>
    <mergeCell ref="H417:AA417"/>
    <mergeCell ref="AB417:AB418"/>
    <mergeCell ref="AR417:AR418"/>
    <mergeCell ref="AS417:AS418"/>
    <mergeCell ref="A419:A429"/>
    <mergeCell ref="B419:B429"/>
    <mergeCell ref="C419:AP419"/>
    <mergeCell ref="C420:AN420"/>
    <mergeCell ref="AC417:AC418"/>
    <mergeCell ref="AD417:AD418"/>
    <mergeCell ref="AE417:AM417"/>
    <mergeCell ref="AN417:AN418"/>
    <mergeCell ref="AO417:AP417"/>
    <mergeCell ref="AQ417:AQ418"/>
    <mergeCell ref="C430:AP430"/>
    <mergeCell ref="A434:A435"/>
    <mergeCell ref="B434:B435"/>
    <mergeCell ref="C434:C435"/>
    <mergeCell ref="D434:D435"/>
    <mergeCell ref="E434:E435"/>
    <mergeCell ref="F434:F435"/>
    <mergeCell ref="G434:G435"/>
    <mergeCell ref="H434:AA434"/>
    <mergeCell ref="AB434:AB435"/>
    <mergeCell ref="AR434:AR435"/>
    <mergeCell ref="AS434:AS435"/>
    <mergeCell ref="A436:A440"/>
    <mergeCell ref="B436:B440"/>
    <mergeCell ref="C436:AP436"/>
    <mergeCell ref="C437:AN437"/>
    <mergeCell ref="AC434:AC435"/>
    <mergeCell ref="AD434:AD435"/>
    <mergeCell ref="AE434:AM434"/>
    <mergeCell ref="AN434:AN435"/>
    <mergeCell ref="AO434:AP434"/>
    <mergeCell ref="AQ434:AQ435"/>
    <mergeCell ref="C441:AP441"/>
    <mergeCell ref="A444:A445"/>
    <mergeCell ref="B444:B445"/>
    <mergeCell ref="C444:C445"/>
    <mergeCell ref="D444:D445"/>
    <mergeCell ref="E444:E445"/>
    <mergeCell ref="F444:F445"/>
    <mergeCell ref="G444:G445"/>
    <mergeCell ref="H444:AA444"/>
    <mergeCell ref="AB444:AB445"/>
    <mergeCell ref="AR444:AR445"/>
    <mergeCell ref="AS444:AS445"/>
    <mergeCell ref="A446:A450"/>
    <mergeCell ref="B446:B450"/>
    <mergeCell ref="C446:AP446"/>
    <mergeCell ref="C447:AN447"/>
    <mergeCell ref="AC444:AC445"/>
    <mergeCell ref="AD444:AD445"/>
    <mergeCell ref="AE444:AM444"/>
    <mergeCell ref="AN444:AN445"/>
    <mergeCell ref="AO444:AP444"/>
    <mergeCell ref="AQ444:AQ445"/>
    <mergeCell ref="C451:AP451"/>
    <mergeCell ref="A455:A456"/>
    <mergeCell ref="B455:B456"/>
    <mergeCell ref="C455:C456"/>
    <mergeCell ref="D455:D456"/>
    <mergeCell ref="E455:E456"/>
    <mergeCell ref="F455:F456"/>
    <mergeCell ref="G455:G456"/>
    <mergeCell ref="H455:AA455"/>
    <mergeCell ref="AB455:AB456"/>
    <mergeCell ref="AR455:AR456"/>
    <mergeCell ref="AS455:AS456"/>
    <mergeCell ref="A457:A467"/>
    <mergeCell ref="B457:B467"/>
    <mergeCell ref="C457:AP457"/>
    <mergeCell ref="C458:AN458"/>
    <mergeCell ref="AC455:AC456"/>
    <mergeCell ref="AD455:AD456"/>
    <mergeCell ref="AE455:AM455"/>
    <mergeCell ref="AN455:AN456"/>
    <mergeCell ref="AO455:AP455"/>
    <mergeCell ref="AQ455:AQ456"/>
    <mergeCell ref="C468:AP468"/>
    <mergeCell ref="A471:A472"/>
    <mergeCell ref="B471:B472"/>
    <mergeCell ref="C471:C472"/>
    <mergeCell ref="D471:D472"/>
    <mergeCell ref="E471:E472"/>
    <mergeCell ref="F471:F472"/>
    <mergeCell ref="G471:G472"/>
    <mergeCell ref="H471:AA471"/>
    <mergeCell ref="AB471:AB472"/>
    <mergeCell ref="AR471:AR472"/>
    <mergeCell ref="AS471:AS472"/>
    <mergeCell ref="A473:A475"/>
    <mergeCell ref="B473:B475"/>
    <mergeCell ref="C473:AP473"/>
    <mergeCell ref="C474:AN474"/>
    <mergeCell ref="AC471:AC472"/>
    <mergeCell ref="AD471:AD472"/>
    <mergeCell ref="AE471:AM471"/>
    <mergeCell ref="AN471:AN472"/>
    <mergeCell ref="AO471:AP471"/>
    <mergeCell ref="AQ471:AQ472"/>
    <mergeCell ref="C476:AP476"/>
    <mergeCell ref="A479:A480"/>
    <mergeCell ref="B479:B480"/>
    <mergeCell ref="C479:C480"/>
    <mergeCell ref="D479:D480"/>
    <mergeCell ref="E479:E480"/>
    <mergeCell ref="F479:F480"/>
    <mergeCell ref="G479:G480"/>
    <mergeCell ref="H479:AA479"/>
    <mergeCell ref="AB479:AB480"/>
    <mergeCell ref="AR479:AR480"/>
    <mergeCell ref="AS479:AS480"/>
    <mergeCell ref="A481:A488"/>
    <mergeCell ref="B481:B488"/>
    <mergeCell ref="C481:AP481"/>
    <mergeCell ref="C482:AN482"/>
    <mergeCell ref="AC479:AC480"/>
    <mergeCell ref="AD479:AD480"/>
    <mergeCell ref="AE479:AM479"/>
    <mergeCell ref="AN479:AN480"/>
    <mergeCell ref="AO479:AP479"/>
    <mergeCell ref="AQ479:AQ480"/>
    <mergeCell ref="C489:AP489"/>
    <mergeCell ref="A492:A493"/>
    <mergeCell ref="B492:B493"/>
    <mergeCell ref="C492:C493"/>
    <mergeCell ref="D492:D493"/>
    <mergeCell ref="E492:E493"/>
    <mergeCell ref="F492:F493"/>
    <mergeCell ref="G492:G493"/>
    <mergeCell ref="H492:AA492"/>
    <mergeCell ref="AB492:AB493"/>
    <mergeCell ref="AR492:AR493"/>
    <mergeCell ref="AS492:AS493"/>
    <mergeCell ref="A494:A496"/>
    <mergeCell ref="B494:B496"/>
    <mergeCell ref="C494:AP494"/>
    <mergeCell ref="C495:AN495"/>
    <mergeCell ref="AC492:AC493"/>
    <mergeCell ref="AD492:AD493"/>
    <mergeCell ref="AE492:AM492"/>
    <mergeCell ref="AN492:AN493"/>
    <mergeCell ref="AO492:AP492"/>
    <mergeCell ref="AQ492:AQ493"/>
    <mergeCell ref="C497:AP497"/>
    <mergeCell ref="A500:A501"/>
    <mergeCell ref="B500:B501"/>
    <mergeCell ref="C500:C501"/>
    <mergeCell ref="D500:D501"/>
    <mergeCell ref="E500:E501"/>
    <mergeCell ref="F500:F501"/>
    <mergeCell ref="G500:G501"/>
    <mergeCell ref="H500:AA500"/>
    <mergeCell ref="AB500:AB501"/>
    <mergeCell ref="AR500:AR501"/>
    <mergeCell ref="AS500:AS501"/>
    <mergeCell ref="A502:A504"/>
    <mergeCell ref="B502:B504"/>
    <mergeCell ref="C502:AP502"/>
    <mergeCell ref="C503:AN503"/>
    <mergeCell ref="AC500:AC501"/>
    <mergeCell ref="AD500:AD501"/>
    <mergeCell ref="AE500:AM500"/>
    <mergeCell ref="AN500:AN501"/>
    <mergeCell ref="AO500:AP500"/>
    <mergeCell ref="AQ500:AQ501"/>
    <mergeCell ref="C505:AP505"/>
    <mergeCell ref="A508:A509"/>
    <mergeCell ref="B508:B509"/>
    <mergeCell ref="C508:C509"/>
    <mergeCell ref="D508:D509"/>
    <mergeCell ref="E508:E509"/>
    <mergeCell ref="F508:F509"/>
    <mergeCell ref="G508:G509"/>
    <mergeCell ref="H508:AA508"/>
    <mergeCell ref="AB508:AB509"/>
    <mergeCell ref="C537:AP537"/>
    <mergeCell ref="AR508:AR509"/>
    <mergeCell ref="AS508:AS509"/>
    <mergeCell ref="A510:A536"/>
    <mergeCell ref="B510:B536"/>
    <mergeCell ref="C510:AP510"/>
    <mergeCell ref="C511:AN511"/>
    <mergeCell ref="AC508:AC509"/>
    <mergeCell ref="AD508:AD509"/>
    <mergeCell ref="AE508:AM508"/>
    <mergeCell ref="AN508:AN509"/>
    <mergeCell ref="AO508:AP508"/>
    <mergeCell ref="AQ508:AQ509"/>
  </mergeCells>
  <conditionalFormatting sqref="AK58">
    <cfRule type="cellIs" dxfId="11" priority="12" operator="greaterThan">
      <formula>1</formula>
    </cfRule>
  </conditionalFormatting>
  <conditionalFormatting sqref="AK182">
    <cfRule type="cellIs" dxfId="10" priority="11" operator="greaterThan">
      <formula>1</formula>
    </cfRule>
  </conditionalFormatting>
  <conditionalFormatting sqref="AS255">
    <cfRule type="cellIs" dxfId="9" priority="10" operator="greaterThan">
      <formula>1</formula>
    </cfRule>
  </conditionalFormatting>
  <conditionalFormatting sqref="AS280">
    <cfRule type="cellIs" dxfId="8" priority="9" operator="greaterThan">
      <formula>1</formula>
    </cfRule>
  </conditionalFormatting>
  <conditionalFormatting sqref="AS288">
    <cfRule type="cellIs" dxfId="7" priority="8" operator="greaterThan">
      <formula>1</formula>
    </cfRule>
  </conditionalFormatting>
  <conditionalFormatting sqref="AS296">
    <cfRule type="cellIs" dxfId="6" priority="7" operator="greaterThan">
      <formula>1</formula>
    </cfRule>
  </conditionalFormatting>
  <conditionalFormatting sqref="AS320">
    <cfRule type="cellIs" dxfId="5" priority="6" operator="greaterThan">
      <formula>1</formula>
    </cfRule>
  </conditionalFormatting>
  <conditionalFormatting sqref="AS414">
    <cfRule type="cellIs" dxfId="4" priority="5" operator="greaterThan">
      <formula>1</formula>
    </cfRule>
  </conditionalFormatting>
  <conditionalFormatting sqref="AS430">
    <cfRule type="cellIs" dxfId="3" priority="4" operator="greaterThan">
      <formula>1</formula>
    </cfRule>
  </conditionalFormatting>
  <conditionalFormatting sqref="AS489">
    <cfRule type="cellIs" dxfId="2" priority="3" operator="greaterThan">
      <formula>1</formula>
    </cfRule>
  </conditionalFormatting>
  <conditionalFormatting sqref="AS497">
    <cfRule type="cellIs" dxfId="1" priority="2" operator="greaterThan">
      <formula>1</formula>
    </cfRule>
  </conditionalFormatting>
  <conditionalFormatting sqref="AS537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 Cañada distribución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Gladys Cecilia Osorio Cavanzo</cp:lastModifiedBy>
  <cp:lastPrinted>2024-03-13T18:03:45Z</cp:lastPrinted>
  <dcterms:created xsi:type="dcterms:W3CDTF">2024-03-06T20:57:15Z</dcterms:created>
  <dcterms:modified xsi:type="dcterms:W3CDTF">2025-11-20T14:14:44Z</dcterms:modified>
</cp:coreProperties>
</file>